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8" Type="http://schemas.openxmlformats.org/officeDocument/2006/relationships/custom-properties" Target="docProps/custom.xml"/><Relationship Id="rId7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6" Type="http://schemas.openxmlformats.org/package/2006/relationships/metadata/core-properties" Target="docProps/core.xml"/><Relationship Id="rId5" Type="http://schemas.microsoft.com/office/2006/relationships/ui/userCustomization" Target="userCustomization/customUI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ancocontactar-my.sharepoint.com/personal/diegoramirez_bancocontactar_com/Documents/Contactar/2023/VTU Produccion/"/>
    </mc:Choice>
  </mc:AlternateContent>
  <xr:revisionPtr revIDLastSave="224" documentId="8_{FDE30A37-BD91-4F71-963B-8BB048E2766A}" xr6:coauthVersionLast="47" xr6:coauthVersionMax="47" xr10:uidLastSave="{853DF42D-F927-4C88-A6C3-21171F22FBF2}"/>
  <bookViews>
    <workbookView xWindow="-120" yWindow="-120" windowWidth="29040" windowHeight="15840" firstSheet="2" activeTab="2" xr2:uid="{410292B7-8523-454D-AE0E-63E7237A9C93}"/>
  </bookViews>
  <sheets>
    <sheet name="Comision" sheetId="7" state="veryHidden" r:id="rId1"/>
    <sheet name="Actualizacion Tasas" sheetId="6" state="veryHidden" r:id="rId2"/>
    <sheet name="ValorTotalUnificadoActivo" sheetId="2" r:id="rId3"/>
    <sheet name="Tabla Amortizacion" sheetId="3" state="veryHidden" r:id="rId4"/>
  </sheets>
  <definedNames>
    <definedName name="DatosExternos_1" localSheetId="1" hidden="1">'Actualizacion Tasas'!$A$1:$J$7</definedName>
    <definedName name="DatosExternos_2" localSheetId="0" hidden="1">Comision!$A$1:$D$13</definedName>
    <definedName name="TablaProd">Tabla5[PRODUCTOS]</definedName>
    <definedName name="TablaProduc">Tabla5[PRODUCTOS]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 a="1"/>
  <c r="D9" i="2" s="1"/>
  <c r="B3" i="3" s="1"/>
  <c r="D19" i="2"/>
  <c r="D13" i="3" a="1"/>
  <c r="D13" i="3" s="1"/>
  <c r="D12" i="2" a="1"/>
  <c r="D12" i="2" s="1"/>
  <c r="D26" i="2" s="1"/>
  <c r="B2" i="3"/>
  <c r="B1" i="3"/>
  <c r="G13" i="3" l="1" a="1"/>
  <c r="G13" i="3" s="1"/>
  <c r="H13" i="3" s="1"/>
  <c r="D10" i="2"/>
  <c r="E13" i="3"/>
  <c r="A14" i="3"/>
  <c r="A15" i="3" s="1"/>
  <c r="D14" i="3" l="1"/>
  <c r="E14" i="3" s="1"/>
  <c r="A16" i="3"/>
  <c r="D15" i="3"/>
  <c r="D16" i="3" l="1"/>
  <c r="A17" i="3"/>
  <c r="A18" i="3" l="1"/>
  <c r="D17" i="3"/>
  <c r="A19" i="3" l="1"/>
  <c r="D18" i="3"/>
  <c r="E18" i="3" s="1"/>
  <c r="A20" i="3" l="1"/>
  <c r="D19" i="3"/>
  <c r="E19" i="3" s="1"/>
  <c r="A21" i="3" l="1"/>
  <c r="D20" i="3"/>
  <c r="A22" i="3" l="1"/>
  <c r="D21" i="3"/>
  <c r="A23" i="3" l="1"/>
  <c r="D22" i="3"/>
  <c r="A24" i="3" l="1"/>
  <c r="D23" i="3"/>
  <c r="A25" i="3" l="1"/>
  <c r="D24" i="3"/>
  <c r="A26" i="3" l="1"/>
  <c r="D25" i="3"/>
  <c r="A27" i="3" l="1"/>
  <c r="D26" i="3"/>
  <c r="A28" i="3" l="1"/>
  <c r="D27" i="3"/>
  <c r="A29" i="3" l="1"/>
  <c r="D28" i="3"/>
  <c r="A30" i="3" l="1"/>
  <c r="D29" i="3"/>
  <c r="A31" i="3" l="1"/>
  <c r="D30" i="3"/>
  <c r="A32" i="3" l="1"/>
  <c r="D31" i="3"/>
  <c r="A33" i="3" l="1"/>
  <c r="D32" i="3"/>
  <c r="A34" i="3" l="1"/>
  <c r="D33" i="3"/>
  <c r="A35" i="3" l="1"/>
  <c r="D34" i="3"/>
  <c r="A36" i="3" l="1"/>
  <c r="D35" i="3"/>
  <c r="A37" i="3" l="1"/>
  <c r="D36" i="3"/>
  <c r="A38" i="3" l="1"/>
  <c r="D37" i="3"/>
  <c r="A39" i="3" l="1"/>
  <c r="D38" i="3"/>
  <c r="A40" i="3" l="1"/>
  <c r="D39" i="3"/>
  <c r="A41" i="3" l="1"/>
  <c r="D40" i="3"/>
  <c r="A42" i="3" l="1"/>
  <c r="D41" i="3"/>
  <c r="I12" i="3"/>
  <c r="F13" i="3" l="1"/>
  <c r="A43" i="3"/>
  <c r="D42" i="3"/>
  <c r="A44" i="3" l="1"/>
  <c r="D43" i="3"/>
  <c r="A45" i="3" l="1"/>
  <c r="D44" i="3"/>
  <c r="A46" i="3" l="1"/>
  <c r="D45" i="3"/>
  <c r="E45" i="3" s="1"/>
  <c r="A47" i="3" l="1"/>
  <c r="D46" i="3"/>
  <c r="A48" i="3" l="1"/>
  <c r="D47" i="3"/>
  <c r="A49" i="3" l="1"/>
  <c r="D48" i="3"/>
  <c r="A50" i="3" l="1"/>
  <c r="D49" i="3"/>
  <c r="A51" i="3" l="1"/>
  <c r="D50" i="3"/>
  <c r="A52" i="3" l="1"/>
  <c r="D51" i="3"/>
  <c r="A53" i="3" l="1"/>
  <c r="D52" i="3"/>
  <c r="A54" i="3" l="1"/>
  <c r="D53" i="3"/>
  <c r="A55" i="3" l="1"/>
  <c r="D54" i="3"/>
  <c r="A56" i="3" l="1"/>
  <c r="D55" i="3"/>
  <c r="A57" i="3" l="1"/>
  <c r="D56" i="3"/>
  <c r="A58" i="3" l="1"/>
  <c r="D57" i="3"/>
  <c r="A59" i="3" l="1"/>
  <c r="D58" i="3"/>
  <c r="A60" i="3" l="1"/>
  <c r="D59" i="3"/>
  <c r="A61" i="3" l="1"/>
  <c r="D60" i="3"/>
  <c r="A62" i="3" l="1"/>
  <c r="D61" i="3"/>
  <c r="A63" i="3" l="1"/>
  <c r="D62" i="3"/>
  <c r="A64" i="3" l="1"/>
  <c r="D63" i="3"/>
  <c r="A65" i="3" l="1"/>
  <c r="D64" i="3"/>
  <c r="A66" i="3" l="1"/>
  <c r="D65" i="3"/>
  <c r="A67" i="3" l="1"/>
  <c r="B66" i="3"/>
  <c r="D66" i="3"/>
  <c r="A68" i="3" l="1"/>
  <c r="B67" i="3"/>
  <c r="D67" i="3"/>
  <c r="A69" i="3" l="1"/>
  <c r="B68" i="3"/>
  <c r="D68" i="3"/>
  <c r="A70" i="3" l="1"/>
  <c r="B69" i="3"/>
  <c r="D69" i="3"/>
  <c r="A71" i="3" l="1"/>
  <c r="B70" i="3"/>
  <c r="D70" i="3"/>
  <c r="A72" i="3" l="1"/>
  <c r="B71" i="3"/>
  <c r="D71" i="3"/>
  <c r="A73" i="3" l="1"/>
  <c r="B72" i="3"/>
  <c r="D72" i="3"/>
  <c r="A74" i="3" l="1"/>
  <c r="B73" i="3"/>
  <c r="D73" i="3"/>
  <c r="A75" i="3" l="1"/>
  <c r="B74" i="3"/>
  <c r="D74" i="3"/>
  <c r="A76" i="3" l="1"/>
  <c r="B75" i="3"/>
  <c r="D75" i="3"/>
  <c r="A77" i="3" l="1"/>
  <c r="B76" i="3"/>
  <c r="D76" i="3"/>
  <c r="A78" i="3" l="1"/>
  <c r="B77" i="3"/>
  <c r="D77" i="3"/>
  <c r="A79" i="3" l="1"/>
  <c r="B78" i="3"/>
  <c r="D78" i="3"/>
  <c r="A80" i="3" l="1"/>
  <c r="B79" i="3"/>
  <c r="D79" i="3"/>
  <c r="A81" i="3" l="1"/>
  <c r="B80" i="3"/>
  <c r="D80" i="3"/>
  <c r="A82" i="3" l="1"/>
  <c r="B81" i="3"/>
  <c r="D81" i="3"/>
  <c r="A83" i="3" l="1"/>
  <c r="B82" i="3"/>
  <c r="D82" i="3"/>
  <c r="A84" i="3" l="1"/>
  <c r="B83" i="3"/>
  <c r="D83" i="3"/>
  <c r="A85" i="3" l="1"/>
  <c r="B84" i="3"/>
  <c r="D84" i="3"/>
  <c r="A86" i="3" l="1"/>
  <c r="B85" i="3"/>
  <c r="D85" i="3"/>
  <c r="A87" i="3" l="1"/>
  <c r="B86" i="3"/>
  <c r="D86" i="3"/>
  <c r="A88" i="3" l="1"/>
  <c r="B87" i="3"/>
  <c r="D87" i="3"/>
  <c r="A89" i="3" l="1"/>
  <c r="B88" i="3"/>
  <c r="D88" i="3"/>
  <c r="A90" i="3" l="1"/>
  <c r="B89" i="3"/>
  <c r="D89" i="3"/>
  <c r="E15" i="3"/>
  <c r="A91" i="3" l="1"/>
  <c r="B90" i="3"/>
  <c r="D90" i="3"/>
  <c r="E16" i="3"/>
  <c r="A92" i="3" l="1"/>
  <c r="B91" i="3"/>
  <c r="D91" i="3"/>
  <c r="E17" i="3"/>
  <c r="B92" i="3" l="1"/>
  <c r="D92" i="3"/>
  <c r="E92" i="3" s="1"/>
  <c r="E20" i="3"/>
  <c r="E21" i="3"/>
  <c r="E22" i="3"/>
  <c r="E23" i="3"/>
  <c r="E24" i="3"/>
  <c r="E25" i="3" l="1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4" i="3" l="1"/>
  <c r="C4" i="3" s="1"/>
  <c r="D14" i="2" l="1"/>
  <c r="B13" i="3"/>
  <c r="C13" i="3" s="1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16" i="3"/>
  <c r="B21" i="3"/>
  <c r="B22" i="3"/>
  <c r="B23" i="3"/>
  <c r="B24" i="3"/>
  <c r="B19" i="3"/>
  <c r="B20" i="3"/>
  <c r="B14" i="3"/>
  <c r="B17" i="3"/>
  <c r="B15" i="3"/>
  <c r="B18" i="3"/>
  <c r="I13" i="3" l="1"/>
  <c r="F14" i="3" s="1"/>
  <c r="C14" i="3" s="1"/>
  <c r="B94" i="3"/>
  <c r="I14" i="3" l="1"/>
  <c r="F15" i="3" s="1"/>
  <c r="G14" i="3" a="1"/>
  <c r="G14" i="3" s="1"/>
  <c r="H14" i="3" s="1"/>
  <c r="G15" i="3" l="1" a="1"/>
  <c r="G15" i="3" s="1"/>
  <c r="H15" i="3" s="1"/>
  <c r="C15" i="3"/>
  <c r="I15" i="3" l="1"/>
  <c r="F16" i="3" s="1"/>
  <c r="G16" i="3" l="1" a="1"/>
  <c r="G16" i="3" s="1"/>
  <c r="H16" i="3" s="1"/>
  <c r="C16" i="3"/>
  <c r="I16" i="3" l="1"/>
  <c r="F17" i="3" s="1"/>
  <c r="G17" i="3" s="1" a="1"/>
  <c r="G17" i="3" s="1"/>
  <c r="H17" i="3" l="1"/>
  <c r="C17" i="3"/>
  <c r="I17" i="3" l="1"/>
  <c r="F18" i="3" s="1"/>
  <c r="G18" i="3" s="1" a="1"/>
  <c r="G18" i="3" s="1"/>
  <c r="H18" i="3" l="1"/>
  <c r="C18" i="3"/>
  <c r="I18" i="3" s="1"/>
  <c r="F19" i="3" l="1"/>
  <c r="G19" i="3" s="1" a="1"/>
  <c r="G19" i="3" s="1"/>
  <c r="H19" i="3" l="1"/>
  <c r="C19" i="3"/>
  <c r="I19" i="3" s="1"/>
  <c r="F20" i="3" l="1"/>
  <c r="G20" i="3" s="1" a="1"/>
  <c r="G20" i="3" s="1"/>
  <c r="H20" i="3" l="1"/>
  <c r="C20" i="3"/>
  <c r="I20" i="3" s="1"/>
  <c r="F21" i="3" l="1"/>
  <c r="G21" i="3" s="1" a="1"/>
  <c r="G21" i="3" s="1"/>
  <c r="H21" i="3" l="1"/>
  <c r="C21" i="3"/>
  <c r="I21" i="3" s="1"/>
  <c r="F22" i="3" l="1"/>
  <c r="G22" i="3" s="1" a="1"/>
  <c r="G22" i="3" s="1"/>
  <c r="H22" i="3" l="1"/>
  <c r="C22" i="3"/>
  <c r="I22" i="3" s="1"/>
  <c r="F23" i="3" l="1"/>
  <c r="G23" i="3" s="1" a="1"/>
  <c r="G23" i="3" s="1"/>
  <c r="H23" i="3" l="1"/>
  <c r="C23" i="3"/>
  <c r="I23" i="3" s="1"/>
  <c r="F24" i="3" l="1"/>
  <c r="G24" i="3" s="1" a="1"/>
  <c r="G24" i="3" s="1"/>
  <c r="H24" i="3" l="1"/>
  <c r="C24" i="3"/>
  <c r="I24" i="3" s="1"/>
  <c r="F25" i="3" l="1"/>
  <c r="G25" i="3" s="1" a="1"/>
  <c r="G25" i="3" s="1"/>
  <c r="H25" i="3" l="1"/>
  <c r="C25" i="3"/>
  <c r="I25" i="3" s="1"/>
  <c r="F26" i="3" l="1"/>
  <c r="G26" i="3" s="1" a="1"/>
  <c r="G26" i="3" s="1"/>
  <c r="H26" i="3" l="1"/>
  <c r="C26" i="3"/>
  <c r="I26" i="3" s="1"/>
  <c r="F27" i="3" l="1"/>
  <c r="G27" i="3" s="1" a="1"/>
  <c r="G27" i="3" s="1"/>
  <c r="H27" i="3" l="1"/>
  <c r="C27" i="3"/>
  <c r="I27" i="3" s="1"/>
  <c r="F28" i="3" l="1"/>
  <c r="G28" i="3" s="1" a="1"/>
  <c r="G28" i="3" s="1"/>
  <c r="H28" i="3" l="1"/>
  <c r="C28" i="3"/>
  <c r="I28" i="3" s="1"/>
  <c r="F29" i="3" l="1"/>
  <c r="G29" i="3" s="1" a="1"/>
  <c r="G29" i="3" s="1"/>
  <c r="H29" i="3" l="1"/>
  <c r="C29" i="3"/>
  <c r="I29" i="3" s="1"/>
  <c r="F30" i="3" l="1"/>
  <c r="G30" i="3" s="1" a="1"/>
  <c r="G30" i="3" s="1"/>
  <c r="H30" i="3" l="1"/>
  <c r="C30" i="3"/>
  <c r="I30" i="3" s="1"/>
  <c r="F31" i="3" l="1"/>
  <c r="G31" i="3" s="1" a="1"/>
  <c r="G31" i="3" s="1"/>
  <c r="H31" i="3" l="1"/>
  <c r="C31" i="3"/>
  <c r="I31" i="3" s="1"/>
  <c r="F32" i="3" l="1"/>
  <c r="G32" i="3" s="1" a="1"/>
  <c r="G32" i="3" s="1"/>
  <c r="H32" i="3" l="1"/>
  <c r="C32" i="3"/>
  <c r="I32" i="3" s="1"/>
  <c r="F33" i="3" l="1"/>
  <c r="G33" i="3" s="1" a="1"/>
  <c r="G33" i="3" s="1"/>
  <c r="H33" i="3" l="1"/>
  <c r="C33" i="3"/>
  <c r="I33" i="3" s="1"/>
  <c r="F34" i="3" l="1"/>
  <c r="G34" i="3" s="1" a="1"/>
  <c r="G34" i="3" s="1"/>
  <c r="H34" i="3" l="1"/>
  <c r="C34" i="3"/>
  <c r="I34" i="3" s="1"/>
  <c r="F35" i="3" l="1"/>
  <c r="G35" i="3" s="1" a="1"/>
  <c r="G35" i="3" s="1"/>
  <c r="H35" i="3" l="1"/>
  <c r="C35" i="3"/>
  <c r="I35" i="3" s="1"/>
  <c r="F36" i="3" l="1"/>
  <c r="G36" i="3" s="1" a="1"/>
  <c r="G36" i="3" s="1"/>
  <c r="H36" i="3" l="1"/>
  <c r="C36" i="3"/>
  <c r="I36" i="3" s="1"/>
  <c r="F37" i="3" l="1"/>
  <c r="G37" i="3" s="1" a="1"/>
  <c r="G37" i="3" s="1"/>
  <c r="H37" i="3" l="1"/>
  <c r="C37" i="3"/>
  <c r="I37" i="3" s="1"/>
  <c r="F38" i="3" l="1"/>
  <c r="G38" i="3" s="1" a="1"/>
  <c r="G38" i="3" s="1"/>
  <c r="H38" i="3" l="1"/>
  <c r="C38" i="3"/>
  <c r="I38" i="3" s="1"/>
  <c r="F39" i="3" l="1"/>
  <c r="G39" i="3" s="1" a="1"/>
  <c r="G39" i="3" s="1"/>
  <c r="H39" i="3" l="1"/>
  <c r="C39" i="3"/>
  <c r="I39" i="3" s="1"/>
  <c r="F40" i="3" l="1"/>
  <c r="G40" i="3" s="1" a="1"/>
  <c r="G40" i="3" s="1"/>
  <c r="H40" i="3" l="1"/>
  <c r="C40" i="3"/>
  <c r="I40" i="3" s="1"/>
  <c r="F41" i="3" l="1"/>
  <c r="G41" i="3" s="1" a="1"/>
  <c r="G41" i="3" s="1"/>
  <c r="H41" i="3" l="1"/>
  <c r="C41" i="3"/>
  <c r="I41" i="3" s="1"/>
  <c r="F42" i="3" l="1"/>
  <c r="G42" i="3" s="1" a="1"/>
  <c r="G42" i="3" s="1"/>
  <c r="H42" i="3" l="1"/>
  <c r="C42" i="3"/>
  <c r="I42" i="3" s="1"/>
  <c r="F43" i="3" l="1"/>
  <c r="G43" i="3" s="1" a="1"/>
  <c r="G43" i="3" s="1"/>
  <c r="H43" i="3" l="1"/>
  <c r="C43" i="3"/>
  <c r="I43" i="3" s="1"/>
  <c r="F44" i="3" l="1"/>
  <c r="G44" i="3" s="1" a="1"/>
  <c r="G44" i="3" s="1"/>
  <c r="H44" i="3" l="1"/>
  <c r="C44" i="3"/>
  <c r="I44" i="3" s="1"/>
  <c r="F45" i="3" l="1"/>
  <c r="G45" i="3" s="1" a="1"/>
  <c r="G45" i="3" s="1"/>
  <c r="H45" i="3" l="1"/>
  <c r="C45" i="3"/>
  <c r="I45" i="3" s="1"/>
  <c r="F46" i="3" l="1"/>
  <c r="G46" i="3" s="1" a="1"/>
  <c r="G46" i="3" s="1"/>
  <c r="H46" i="3" l="1"/>
  <c r="C46" i="3"/>
  <c r="I46" i="3" s="1"/>
  <c r="F47" i="3" l="1"/>
  <c r="G47" i="3" s="1" a="1"/>
  <c r="G47" i="3" s="1"/>
  <c r="H47" i="3" l="1"/>
  <c r="C47" i="3"/>
  <c r="I47" i="3" s="1"/>
  <c r="F48" i="3" l="1"/>
  <c r="G48" i="3" s="1" a="1"/>
  <c r="G48" i="3" s="1"/>
  <c r="H48" i="3" l="1"/>
  <c r="C48" i="3"/>
  <c r="I48" i="3" s="1"/>
  <c r="F49" i="3" l="1"/>
  <c r="G49" i="3" s="1" a="1"/>
  <c r="G49" i="3" s="1"/>
  <c r="H49" i="3" l="1"/>
  <c r="C49" i="3"/>
  <c r="I49" i="3" s="1"/>
  <c r="F50" i="3" l="1"/>
  <c r="G50" i="3" s="1" a="1"/>
  <c r="G50" i="3" s="1"/>
  <c r="H50" i="3" l="1"/>
  <c r="C50" i="3"/>
  <c r="I50" i="3" s="1"/>
  <c r="F51" i="3" l="1"/>
  <c r="G51" i="3" s="1" a="1"/>
  <c r="G51" i="3" s="1"/>
  <c r="H51" i="3" l="1"/>
  <c r="C51" i="3"/>
  <c r="I51" i="3" s="1"/>
  <c r="F52" i="3" l="1"/>
  <c r="G52" i="3" s="1" a="1"/>
  <c r="G52" i="3" s="1"/>
  <c r="H52" i="3" l="1"/>
  <c r="C52" i="3"/>
  <c r="I52" i="3" s="1"/>
  <c r="F53" i="3" l="1"/>
  <c r="G53" i="3" s="1" a="1"/>
  <c r="G53" i="3" s="1"/>
  <c r="H53" i="3" l="1"/>
  <c r="C53" i="3"/>
  <c r="I53" i="3" s="1"/>
  <c r="F54" i="3" l="1"/>
  <c r="G54" i="3" s="1" a="1"/>
  <c r="G54" i="3" s="1"/>
  <c r="H54" i="3" l="1"/>
  <c r="C54" i="3"/>
  <c r="I54" i="3" s="1"/>
  <c r="F55" i="3" l="1"/>
  <c r="G55" i="3" s="1" a="1"/>
  <c r="G55" i="3" s="1"/>
  <c r="H55" i="3" l="1"/>
  <c r="C55" i="3"/>
  <c r="I55" i="3" s="1"/>
  <c r="F56" i="3" l="1"/>
  <c r="G56" i="3" s="1" a="1"/>
  <c r="G56" i="3" s="1"/>
  <c r="H56" i="3" l="1"/>
  <c r="C56" i="3"/>
  <c r="I56" i="3" s="1"/>
  <c r="F57" i="3" l="1"/>
  <c r="G57" i="3" s="1" a="1"/>
  <c r="G57" i="3" s="1"/>
  <c r="H57" i="3" l="1"/>
  <c r="C57" i="3"/>
  <c r="I57" i="3" s="1"/>
  <c r="F58" i="3" l="1"/>
  <c r="G58" i="3" s="1" a="1"/>
  <c r="G58" i="3" s="1"/>
  <c r="H58" i="3" l="1"/>
  <c r="C58" i="3"/>
  <c r="I58" i="3" s="1"/>
  <c r="F59" i="3" l="1"/>
  <c r="G59" i="3" s="1" a="1"/>
  <c r="G59" i="3" s="1"/>
  <c r="H59" i="3" l="1"/>
  <c r="C59" i="3"/>
  <c r="I59" i="3" s="1"/>
  <c r="F60" i="3" l="1"/>
  <c r="G60" i="3" s="1" a="1"/>
  <c r="G60" i="3" s="1"/>
  <c r="H60" i="3" l="1"/>
  <c r="C60" i="3"/>
  <c r="I60" i="3" s="1"/>
  <c r="F61" i="3" l="1"/>
  <c r="G61" i="3" s="1" a="1"/>
  <c r="G61" i="3" s="1"/>
  <c r="H61" i="3" l="1"/>
  <c r="C61" i="3"/>
  <c r="I61" i="3" s="1"/>
  <c r="F62" i="3" l="1"/>
  <c r="G62" i="3" s="1" a="1"/>
  <c r="G62" i="3" s="1"/>
  <c r="H62" i="3" l="1"/>
  <c r="C62" i="3"/>
  <c r="I62" i="3" s="1"/>
  <c r="F63" i="3" l="1"/>
  <c r="G63" i="3" s="1" a="1"/>
  <c r="G63" i="3" s="1"/>
  <c r="H63" i="3" l="1"/>
  <c r="C63" i="3"/>
  <c r="I63" i="3" s="1"/>
  <c r="F64" i="3" l="1"/>
  <c r="G64" i="3" s="1" a="1"/>
  <c r="G64" i="3" s="1"/>
  <c r="H64" i="3" l="1"/>
  <c r="C64" i="3"/>
  <c r="I64" i="3" s="1"/>
  <c r="F65" i="3" l="1"/>
  <c r="G65" i="3" s="1" a="1"/>
  <c r="G65" i="3" s="1"/>
  <c r="H65" i="3" l="1"/>
  <c r="C65" i="3"/>
  <c r="I65" i="3" s="1"/>
  <c r="F66" i="3" l="1"/>
  <c r="G66" i="3" s="1" a="1"/>
  <c r="G66" i="3" s="1"/>
  <c r="H66" i="3" l="1"/>
  <c r="C66" i="3"/>
  <c r="I66" i="3" s="1"/>
  <c r="F67" i="3" l="1"/>
  <c r="G67" i="3" s="1" a="1"/>
  <c r="G67" i="3" s="1"/>
  <c r="H67" i="3" l="1"/>
  <c r="C67" i="3"/>
  <c r="I67" i="3" s="1"/>
  <c r="F68" i="3" l="1"/>
  <c r="G68" i="3" s="1" a="1"/>
  <c r="G68" i="3" s="1"/>
  <c r="H68" i="3" l="1"/>
  <c r="C68" i="3"/>
  <c r="I68" i="3" s="1"/>
  <c r="F69" i="3" l="1"/>
  <c r="G69" i="3" s="1" a="1"/>
  <c r="G69" i="3" s="1"/>
  <c r="H69" i="3" l="1"/>
  <c r="C69" i="3"/>
  <c r="I69" i="3" s="1"/>
  <c r="F70" i="3" l="1"/>
  <c r="G70" i="3" s="1" a="1"/>
  <c r="G70" i="3" s="1"/>
  <c r="H70" i="3" l="1"/>
  <c r="C70" i="3"/>
  <c r="I70" i="3" s="1"/>
  <c r="F71" i="3" l="1"/>
  <c r="G71" i="3" s="1" a="1"/>
  <c r="G71" i="3" s="1"/>
  <c r="H71" i="3" l="1"/>
  <c r="C71" i="3"/>
  <c r="I71" i="3" s="1"/>
  <c r="F72" i="3" l="1"/>
  <c r="G72" i="3" s="1" a="1"/>
  <c r="G72" i="3" s="1"/>
  <c r="H72" i="3" l="1"/>
  <c r="C72" i="3"/>
  <c r="I72" i="3" s="1"/>
  <c r="F73" i="3" l="1"/>
  <c r="G73" i="3" s="1" a="1"/>
  <c r="G73" i="3" s="1"/>
  <c r="H73" i="3" l="1"/>
  <c r="C73" i="3"/>
  <c r="I73" i="3" s="1"/>
  <c r="F74" i="3" l="1"/>
  <c r="G74" i="3" s="1" a="1"/>
  <c r="G74" i="3" s="1"/>
  <c r="H74" i="3" l="1"/>
  <c r="C74" i="3"/>
  <c r="I74" i="3" s="1"/>
  <c r="F75" i="3" l="1"/>
  <c r="G75" i="3" s="1" a="1"/>
  <c r="G75" i="3" s="1"/>
  <c r="H75" i="3" l="1"/>
  <c r="C75" i="3"/>
  <c r="I75" i="3" s="1"/>
  <c r="F76" i="3" l="1"/>
  <c r="G76" i="3" s="1" a="1"/>
  <c r="G76" i="3" s="1"/>
  <c r="H76" i="3" l="1"/>
  <c r="C76" i="3"/>
  <c r="I76" i="3" s="1"/>
  <c r="F77" i="3" l="1"/>
  <c r="G77" i="3" s="1" a="1"/>
  <c r="G77" i="3" s="1"/>
  <c r="H77" i="3" l="1"/>
  <c r="C77" i="3"/>
  <c r="I77" i="3" s="1"/>
  <c r="F78" i="3" l="1"/>
  <c r="G78" i="3" s="1" a="1"/>
  <c r="G78" i="3" s="1"/>
  <c r="H78" i="3" l="1"/>
  <c r="C78" i="3"/>
  <c r="I78" i="3" s="1"/>
  <c r="F79" i="3" l="1"/>
  <c r="G79" i="3" s="1" a="1"/>
  <c r="G79" i="3" s="1"/>
  <c r="H79" i="3" l="1"/>
  <c r="C79" i="3"/>
  <c r="I79" i="3" s="1"/>
  <c r="F80" i="3" l="1"/>
  <c r="G80" i="3" s="1" a="1"/>
  <c r="G80" i="3" s="1"/>
  <c r="H80" i="3" l="1"/>
  <c r="C80" i="3"/>
  <c r="I80" i="3" s="1"/>
  <c r="F81" i="3" l="1"/>
  <c r="G81" i="3" s="1" a="1"/>
  <c r="G81" i="3" s="1"/>
  <c r="H81" i="3" l="1"/>
  <c r="C81" i="3"/>
  <c r="I81" i="3" s="1"/>
  <c r="F82" i="3" l="1"/>
  <c r="G82" i="3" s="1" a="1"/>
  <c r="G82" i="3" s="1"/>
  <c r="H82" i="3" l="1"/>
  <c r="C82" i="3"/>
  <c r="I82" i="3" s="1"/>
  <c r="F83" i="3" l="1"/>
  <c r="G83" i="3" s="1" a="1"/>
  <c r="G83" i="3" s="1"/>
  <c r="H83" i="3" l="1"/>
  <c r="C83" i="3"/>
  <c r="I83" i="3" s="1"/>
  <c r="F84" i="3" l="1"/>
  <c r="G84" i="3" s="1" a="1"/>
  <c r="G84" i="3" s="1"/>
  <c r="H84" i="3" l="1"/>
  <c r="C84" i="3"/>
  <c r="I84" i="3" s="1"/>
  <c r="F85" i="3" l="1"/>
  <c r="G85" i="3" s="1" a="1"/>
  <c r="G85" i="3" s="1"/>
  <c r="H85" i="3" l="1"/>
  <c r="C85" i="3"/>
  <c r="I85" i="3" s="1"/>
  <c r="F86" i="3" l="1"/>
  <c r="G86" i="3" s="1" a="1"/>
  <c r="G86" i="3" s="1"/>
  <c r="H86" i="3" l="1"/>
  <c r="C86" i="3"/>
  <c r="I86" i="3" s="1"/>
  <c r="F87" i="3" l="1"/>
  <c r="G87" i="3" s="1" a="1"/>
  <c r="G87" i="3" s="1"/>
  <c r="H87" i="3" l="1"/>
  <c r="C87" i="3"/>
  <c r="I87" i="3" s="1"/>
  <c r="F88" i="3" l="1"/>
  <c r="G88" i="3" s="1" a="1"/>
  <c r="G88" i="3" s="1"/>
  <c r="H88" i="3" l="1"/>
  <c r="C88" i="3"/>
  <c r="I88" i="3" s="1"/>
  <c r="F89" i="3" l="1"/>
  <c r="G89" i="3" s="1" a="1"/>
  <c r="G89" i="3" s="1"/>
  <c r="H89" i="3" l="1"/>
  <c r="C89" i="3"/>
  <c r="I89" i="3" s="1"/>
  <c r="F90" i="3" l="1"/>
  <c r="G90" i="3" s="1" a="1"/>
  <c r="G90" i="3" s="1"/>
  <c r="H90" i="3" l="1"/>
  <c r="C90" i="3"/>
  <c r="I90" i="3" s="1"/>
  <c r="F91" i="3" l="1"/>
  <c r="G91" i="3" s="1" a="1"/>
  <c r="G91" i="3" s="1"/>
  <c r="H91" i="3" l="1"/>
  <c r="C91" i="3"/>
  <c r="I91" i="3" s="1"/>
  <c r="F92" i="3" l="1"/>
  <c r="G92" i="3" l="1" a="1"/>
  <c r="G92" i="3" s="1"/>
  <c r="G94" i="3" s="1"/>
  <c r="D21" i="2" s="1"/>
  <c r="F94" i="3"/>
  <c r="D20" i="2" s="1"/>
  <c r="C92" i="3"/>
  <c r="I92" i="3" l="1"/>
  <c r="C94" i="3"/>
  <c r="H92" i="3"/>
  <c r="H94" i="3" s="1"/>
  <c r="D22" i="2" s="1"/>
  <c r="D27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2F9823D-35A1-4CFC-908F-78374E0B1542}" keepAlive="1" name="Consulta - Actualizacion Tasas" description="Conexión a la consulta 'Actualizacion Tasas' en el libro." type="5" refreshedVersion="8" background="1" saveData="1" credentials="none">
    <dbPr connection="Provider=Microsoft.Mashup.OleDb.1;Data Source=$Workbook$;Location=&quot;Actualizacion Tasas&quot;;Extended Properties=&quot;&quot;" command="SELECT * FROM [Actualizacion Tasas]"/>
  </connection>
  <connection id="2" xr16:uid="{F3B66BD0-57C7-4297-9A51-1EB2840A4D70}" keepAlive="1" name="Consulta - Comision" description="Conexión a la consulta 'Comision' en el libro." type="5" refreshedVersion="8" background="1" saveData="1" credentials="none">
    <dbPr connection="Provider=Microsoft.Mashup.OleDb.1;Data Source=$Workbook$;Location=Comision;Extended Properties=&quot;&quot;" command="SELECT * FROM [Comision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<sst xmlns="http://schemas.openxmlformats.org/spreadsheetml/2006/main" count="76" uniqueCount="60">
  <si>
    <t>comod</t>
  </si>
  <si>
    <t>cocod</t>
  </si>
  <si>
    <t>comto</t>
  </si>
  <si>
    <t>cotasap</t>
  </si>
  <si>
    <t>Modulo</t>
  </si>
  <si>
    <t>Mdnom</t>
  </si>
  <si>
    <t>Modulo2</t>
  </si>
  <si>
    <t>Totope</t>
  </si>
  <si>
    <t>Tonom</t>
  </si>
  <si>
    <t>Tamto</t>
  </si>
  <si>
    <t>Tatasa</t>
  </si>
  <si>
    <t>Tpizar</t>
  </si>
  <si>
    <t>Tapzo</t>
  </si>
  <si>
    <t>Tafdes</t>
  </si>
  <si>
    <t xml:space="preserve">MICROCRÉDITOS EMPRESA         </t>
  </si>
  <si>
    <t xml:space="preserve">MICRO - Credinegocio          </t>
  </si>
  <si>
    <t>PRODUCTOS</t>
  </si>
  <si>
    <t>CREDITO DE CONSUMO</t>
  </si>
  <si>
    <t>CREDITO COMERCIAL</t>
  </si>
  <si>
    <t>MICROCREDITO</t>
  </si>
  <si>
    <t>FRECUENCIAS</t>
  </si>
  <si>
    <t>Mensual</t>
  </si>
  <si>
    <t>Bimensual</t>
  </si>
  <si>
    <t>Trimestral</t>
  </si>
  <si>
    <t>Cuatrimestral</t>
  </si>
  <si>
    <t>Quinquemestral</t>
  </si>
  <si>
    <t>Semestral</t>
  </si>
  <si>
    <t>VALOR TOTAL UNIFICADO DEL ACTIVO</t>
  </si>
  <si>
    <t>Línea de Producto:</t>
  </si>
  <si>
    <t>*</t>
  </si>
  <si>
    <t>Monto Solicitado:</t>
  </si>
  <si>
    <t>Frecuencia de Pago:</t>
  </si>
  <si>
    <t>Tasa E.A:</t>
  </si>
  <si>
    <t>Tasa N.M.V:</t>
  </si>
  <si>
    <t>Plazo:</t>
  </si>
  <si>
    <t>Seguro Deudor:</t>
  </si>
  <si>
    <t xml:space="preserve">Valor Aproximado de Cuota: </t>
  </si>
  <si>
    <t>RESUMEN</t>
  </si>
  <si>
    <t>Capital:</t>
  </si>
  <si>
    <t>Intereses:</t>
  </si>
  <si>
    <t>Comision:</t>
  </si>
  <si>
    <t>IVA Comision:</t>
  </si>
  <si>
    <t>Comison FNG:</t>
  </si>
  <si>
    <t>IVA FNG:</t>
  </si>
  <si>
    <t>Estudio de Crédito:</t>
  </si>
  <si>
    <t>Total a Pagar:</t>
  </si>
  <si>
    <t>Valor del prestamo</t>
  </si>
  <si>
    <t>Cuotas mensuales:</t>
  </si>
  <si>
    <t>Tasa de interés mensual:</t>
  </si>
  <si>
    <t>Valor Cuota Mensual</t>
  </si>
  <si>
    <t>Cuota No.</t>
  </si>
  <si>
    <t>Cuota</t>
  </si>
  <si>
    <t>Abono a Capital</t>
  </si>
  <si>
    <t>Dias</t>
  </si>
  <si>
    <t>% Mes</t>
  </si>
  <si>
    <t>Interes</t>
  </si>
  <si>
    <t>Comision</t>
  </si>
  <si>
    <t>IVA Comision</t>
  </si>
  <si>
    <t>Saldo del crédito despues del pago</t>
  </si>
  <si>
    <t>Total a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</si>
</sst>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%"/>
    <numFmt numFmtId="165" formatCode="_-&quot;$&quot;\ * #,##0_-;\-&quot;$&quot;\ * #,##0_-;_-&quot;$&quot;\ * &quot;-&quot;??_-;_-@_-"/>
    <numFmt numFmtId="166" formatCode="&quot;$&quot;\ #,##0;[Red]&quot;$&quot;\ \-#,##0"/>
    <numFmt numFmtId="167" formatCode="#,##0;[Red]\(#,##0\)"/>
    <numFmt numFmtId="168" formatCode="0.0000"/>
    <numFmt numFmtId="169" formatCode="#,##0.0000;[Red]\(#,##0.0000\)"/>
    <numFmt numFmtId="170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 style="medium">
        <color theme="9" tint="-0.24997711111789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44" fontId="0" fillId="0" borderId="0" xfId="2" applyFont="1"/>
    <xf numFmtId="10" fontId="0" fillId="0" borderId="0" xfId="0" applyNumberFormat="1"/>
    <xf numFmtId="164" fontId="0" fillId="0" borderId="0" xfId="3" applyNumberFormat="1" applyFont="1"/>
    <xf numFmtId="165" fontId="0" fillId="0" borderId="0" xfId="2" applyNumberFormat="1" applyFont="1"/>
    <xf numFmtId="166" fontId="0" fillId="0" borderId="0" xfId="0" applyNumberFormat="1"/>
    <xf numFmtId="167" fontId="0" fillId="0" borderId="0" xfId="0" applyNumberFormat="1"/>
    <xf numFmtId="164" fontId="0" fillId="0" borderId="0" xfId="0" applyNumberFormat="1"/>
    <xf numFmtId="167" fontId="0" fillId="0" borderId="0" xfId="0" applyNumberFormat="1" applyAlignment="1">
      <alignment horizontal="center"/>
    </xf>
    <xf numFmtId="167" fontId="2" fillId="0" borderId="0" xfId="0" applyNumberFormat="1" applyFont="1"/>
    <xf numFmtId="167" fontId="3" fillId="0" borderId="0" xfId="0" applyNumberFormat="1" applyFont="1"/>
    <xf numFmtId="43" fontId="0" fillId="0" borderId="0" xfId="1" applyFont="1"/>
    <xf numFmtId="168" fontId="0" fillId="0" borderId="0" xfId="0" applyNumberFormat="1"/>
    <xf numFmtId="167" fontId="0" fillId="0" borderId="0" xfId="0" applyNumberFormat="1" applyAlignment="1">
      <alignment vertical="center"/>
    </xf>
    <xf numFmtId="169" fontId="3" fillId="0" borderId="0" xfId="0" applyNumberFormat="1" applyFont="1"/>
    <xf numFmtId="6" fontId="0" fillId="0" borderId="0" xfId="2" applyNumberFormat="1" applyFont="1"/>
    <xf numFmtId="22" fontId="0" fillId="0" borderId="0" xfId="0" applyNumberFormat="1"/>
    <xf numFmtId="165" fontId="0" fillId="0" borderId="0" xfId="0" applyNumberFormat="1"/>
    <xf numFmtId="170" fontId="0" fillId="0" borderId="0" xfId="0" applyNumberFormat="1"/>
    <xf numFmtId="43" fontId="0" fillId="0" borderId="0" xfId="0" applyNumberFormat="1"/>
    <xf numFmtId="165" fontId="3" fillId="0" borderId="0" xfId="2" applyNumberFormat="1" applyFont="1"/>
    <xf numFmtId="0" fontId="5" fillId="2" borderId="0" xfId="0" applyFont="1" applyFill="1"/>
    <xf numFmtId="0" fontId="5" fillId="3" borderId="0" xfId="0" applyFont="1" applyFill="1"/>
    <xf numFmtId="0" fontId="8" fillId="2" borderId="0" xfId="0" applyFont="1" applyFill="1"/>
    <xf numFmtId="0" fontId="9" fillId="3" borderId="0" xfId="0" applyFont="1" applyFill="1"/>
    <xf numFmtId="165" fontId="5" fillId="2" borderId="0" xfId="0" applyNumberFormat="1" applyFont="1" applyFill="1"/>
    <xf numFmtId="0" fontId="9" fillId="2" borderId="0" xfId="0" applyFont="1" applyFill="1"/>
    <xf numFmtId="0" fontId="0" fillId="2" borderId="0" xfId="0" applyFill="1"/>
    <xf numFmtId="0" fontId="5" fillId="3" borderId="0" xfId="0" applyFont="1" applyFill="1" applyProtection="1">
      <protection locked="0"/>
    </xf>
    <xf numFmtId="165" fontId="5" fillId="2" borderId="1" xfId="2" applyNumberFormat="1" applyFont="1" applyFill="1" applyBorder="1" applyProtection="1">
      <protection locked="0"/>
    </xf>
    <xf numFmtId="10" fontId="5" fillId="3" borderId="1" xfId="3" applyNumberFormat="1" applyFont="1" applyFill="1" applyBorder="1" applyProtection="1">
      <protection hidden="1"/>
    </xf>
    <xf numFmtId="0" fontId="5" fillId="2" borderId="1" xfId="0" applyFont="1" applyFill="1" applyBorder="1" applyProtection="1">
      <protection locked="0"/>
    </xf>
    <xf numFmtId="165" fontId="5" fillId="3" borderId="1" xfId="2" applyNumberFormat="1" applyFont="1" applyFill="1" applyBorder="1" applyProtection="1">
      <protection hidden="1"/>
    </xf>
    <xf numFmtId="0" fontId="5" fillId="2" borderId="1" xfId="0" applyFont="1" applyFill="1" applyBorder="1"/>
    <xf numFmtId="165" fontId="9" fillId="3" borderId="0" xfId="2" applyNumberFormat="1" applyFont="1" applyFill="1" applyBorder="1" applyProtection="1">
      <protection hidden="1"/>
    </xf>
    <xf numFmtId="165" fontId="5" fillId="2" borderId="1" xfId="2" applyNumberFormat="1" applyFont="1" applyFill="1" applyBorder="1"/>
    <xf numFmtId="49" fontId="5" fillId="2" borderId="1" xfId="1" quotePrefix="1" applyNumberFormat="1" applyFont="1" applyFill="1" applyBorder="1" applyAlignment="1">
      <alignment horizontal="right"/>
    </xf>
    <xf numFmtId="165" fontId="5" fillId="2" borderId="2" xfId="0" applyNumberFormat="1" applyFont="1" applyFill="1" applyBorder="1"/>
    <xf numFmtId="165" fontId="9" fillId="2" borderId="2" xfId="2" applyNumberFormat="1" applyFont="1" applyFill="1" applyBorder="1" applyProtection="1">
      <protection hidden="1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67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4">
    <dxf>
      <numFmt numFmtId="27" formatCode="d/mm/yyyy\ 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3</xdr:row>
      <xdr:rowOff>2381</xdr:rowOff>
    </xdr:from>
    <xdr:to>
      <xdr:col>4</xdr:col>
      <xdr:colOff>0</xdr:colOff>
      <xdr:row>4</xdr:row>
      <xdr:rowOff>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A8CFB242-78C6-4BB1-D65F-7F7AC966051A}"/>
            </a:ext>
          </a:extLst>
        </xdr:cNvPr>
        <xdr:cNvSpPr/>
      </xdr:nvSpPr>
      <xdr:spPr>
        <a:xfrm>
          <a:off x="752475" y="657225"/>
          <a:ext cx="4676775" cy="200025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1</xdr:col>
      <xdr:colOff>0</xdr:colOff>
      <xdr:row>5</xdr:row>
      <xdr:rowOff>1</xdr:rowOff>
    </xdr:from>
    <xdr:to>
      <xdr:col>2</xdr:col>
      <xdr:colOff>9525</xdr:colOff>
      <xdr:row>5</xdr:row>
      <xdr:rowOff>228601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E80A0581-EE4D-28F2-FB6E-08D5DD7EEB83}"/>
            </a:ext>
          </a:extLst>
        </xdr:cNvPr>
        <xdr:cNvSpPr/>
      </xdr:nvSpPr>
      <xdr:spPr>
        <a:xfrm>
          <a:off x="1524000" y="1333501"/>
          <a:ext cx="2914650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2</xdr:col>
      <xdr:colOff>9525</xdr:colOff>
      <xdr:row>6</xdr:row>
      <xdr:rowOff>228600</xdr:rowOff>
    </xdr:to>
    <xdr:sp macro="" textlink="">
      <xdr:nvSpPr>
        <xdr:cNvPr id="13" name="Rectángulo: esquinas redondeadas 12">
          <a:extLst>
            <a:ext uri="{FF2B5EF4-FFF2-40B4-BE49-F238E27FC236}">
              <a16:creationId xmlns:a16="http://schemas.microsoft.com/office/drawing/2014/main" id="{5DE641C4-A6BE-4F51-8266-DF5C630AE1D1}"/>
            </a:ext>
          </a:extLst>
        </xdr:cNvPr>
        <xdr:cNvSpPr/>
      </xdr:nvSpPr>
      <xdr:spPr>
        <a:xfrm>
          <a:off x="1524000" y="1581150"/>
          <a:ext cx="2914650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2</xdr:col>
      <xdr:colOff>9525</xdr:colOff>
      <xdr:row>7</xdr:row>
      <xdr:rowOff>228600</xdr:rowOff>
    </xdr:to>
    <xdr:sp macro="" textlink="">
      <xdr:nvSpPr>
        <xdr:cNvPr id="14" name="Rectángulo: esquinas redondeadas 13">
          <a:extLst>
            <a:ext uri="{FF2B5EF4-FFF2-40B4-BE49-F238E27FC236}">
              <a16:creationId xmlns:a16="http://schemas.microsoft.com/office/drawing/2014/main" id="{864FB17B-20A0-4A77-B0D7-D3CB1E7450E6}"/>
            </a:ext>
          </a:extLst>
        </xdr:cNvPr>
        <xdr:cNvSpPr/>
      </xdr:nvSpPr>
      <xdr:spPr>
        <a:xfrm>
          <a:off x="1524000" y="1828800"/>
          <a:ext cx="2914650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2</xdr:col>
      <xdr:colOff>9525</xdr:colOff>
      <xdr:row>8</xdr:row>
      <xdr:rowOff>228600</xdr:rowOff>
    </xdr:to>
    <xdr:sp macro="" textlink="">
      <xdr:nvSpPr>
        <xdr:cNvPr id="15" name="Rectángulo: esquinas redondeadas 14">
          <a:extLst>
            <a:ext uri="{FF2B5EF4-FFF2-40B4-BE49-F238E27FC236}">
              <a16:creationId xmlns:a16="http://schemas.microsoft.com/office/drawing/2014/main" id="{7CD2F121-23DE-4182-B33F-E3002AF593DF}"/>
            </a:ext>
          </a:extLst>
        </xdr:cNvPr>
        <xdr:cNvSpPr/>
      </xdr:nvSpPr>
      <xdr:spPr>
        <a:xfrm>
          <a:off x="1524000" y="2076450"/>
          <a:ext cx="2914650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9525</xdr:colOff>
      <xdr:row>10</xdr:row>
      <xdr:rowOff>228600</xdr:rowOff>
    </xdr:to>
    <xdr:sp macro="" textlink="">
      <xdr:nvSpPr>
        <xdr:cNvPr id="16" name="Rectángulo: esquinas redondeadas 15">
          <a:extLst>
            <a:ext uri="{FF2B5EF4-FFF2-40B4-BE49-F238E27FC236}">
              <a16:creationId xmlns:a16="http://schemas.microsoft.com/office/drawing/2014/main" id="{60693FBC-E0EE-4773-A254-41B9BFCFF2C5}"/>
            </a:ext>
          </a:extLst>
        </xdr:cNvPr>
        <xdr:cNvSpPr/>
      </xdr:nvSpPr>
      <xdr:spPr>
        <a:xfrm>
          <a:off x="1524000" y="2324100"/>
          <a:ext cx="2914650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11</xdr:row>
      <xdr:rowOff>0</xdr:rowOff>
    </xdr:from>
    <xdr:to>
      <xdr:col>2</xdr:col>
      <xdr:colOff>9525</xdr:colOff>
      <xdr:row>11</xdr:row>
      <xdr:rowOff>228600</xdr:rowOff>
    </xdr:to>
    <xdr:sp macro="" textlink="">
      <xdr:nvSpPr>
        <xdr:cNvPr id="17" name="Rectángulo: esquinas redondeadas 16">
          <a:extLst>
            <a:ext uri="{FF2B5EF4-FFF2-40B4-BE49-F238E27FC236}">
              <a16:creationId xmlns:a16="http://schemas.microsoft.com/office/drawing/2014/main" id="{E31B8427-0408-42D6-9E8B-004D0091EF65}"/>
            </a:ext>
          </a:extLst>
        </xdr:cNvPr>
        <xdr:cNvSpPr/>
      </xdr:nvSpPr>
      <xdr:spPr>
        <a:xfrm>
          <a:off x="1524000" y="2571750"/>
          <a:ext cx="2914650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9525</xdr:colOff>
      <xdr:row>13</xdr:row>
      <xdr:rowOff>228600</xdr:rowOff>
    </xdr:to>
    <xdr:sp macro="" textlink="">
      <xdr:nvSpPr>
        <xdr:cNvPr id="18" name="Rectángulo: esquinas redondeadas 17">
          <a:extLst>
            <a:ext uri="{FF2B5EF4-FFF2-40B4-BE49-F238E27FC236}">
              <a16:creationId xmlns:a16="http://schemas.microsoft.com/office/drawing/2014/main" id="{196B9C19-F36B-42E8-B3C8-14458619B620}"/>
            </a:ext>
          </a:extLst>
        </xdr:cNvPr>
        <xdr:cNvSpPr/>
      </xdr:nvSpPr>
      <xdr:spPr>
        <a:xfrm>
          <a:off x="2286000" y="3249706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26</xdr:row>
      <xdr:rowOff>0</xdr:rowOff>
    </xdr:from>
    <xdr:to>
      <xdr:col>2</xdr:col>
      <xdr:colOff>9525</xdr:colOff>
      <xdr:row>26</xdr:row>
      <xdr:rowOff>200025</xdr:rowOff>
    </xdr:to>
    <xdr:sp macro="" textlink="">
      <xdr:nvSpPr>
        <xdr:cNvPr id="21" name="Rectángulo: esquinas redondeadas 20">
          <a:extLst>
            <a:ext uri="{FF2B5EF4-FFF2-40B4-BE49-F238E27FC236}">
              <a16:creationId xmlns:a16="http://schemas.microsoft.com/office/drawing/2014/main" id="{649F7E6B-1832-41E3-9B5A-26149BE230F2}"/>
            </a:ext>
          </a:extLst>
        </xdr:cNvPr>
        <xdr:cNvSpPr/>
      </xdr:nvSpPr>
      <xdr:spPr>
        <a:xfrm>
          <a:off x="2286000" y="5845969"/>
          <a:ext cx="2224088" cy="200025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352425</xdr:colOff>
      <xdr:row>27</xdr:row>
      <xdr:rowOff>143014</xdr:rowOff>
    </xdr:from>
    <xdr:to>
      <xdr:col>4</xdr:col>
      <xdr:colOff>352425</xdr:colOff>
      <xdr:row>41</xdr:row>
      <xdr:rowOff>7283</xdr:rowOff>
    </xdr:to>
    <xdr:sp macro="" textlink="">
      <xdr:nvSpPr>
        <xdr:cNvPr id="24" name="Rectángulo: esquinas redondeadas 23">
          <a:extLst>
            <a:ext uri="{FF2B5EF4-FFF2-40B4-BE49-F238E27FC236}">
              <a16:creationId xmlns:a16="http://schemas.microsoft.com/office/drawing/2014/main" id="{F6B4E4B5-3F54-EE21-7BCB-0CEC812E29B5}"/>
            </a:ext>
          </a:extLst>
        </xdr:cNvPr>
        <xdr:cNvSpPr/>
      </xdr:nvSpPr>
      <xdr:spPr>
        <a:xfrm>
          <a:off x="352425" y="5786577"/>
          <a:ext cx="5429250" cy="2531269"/>
        </a:xfrm>
        <a:prstGeom prst="roundRect">
          <a:avLst>
            <a:gd name="adj" fmla="val 16233"/>
          </a:avLst>
        </a:prstGeom>
        <a:noFill/>
        <a:ln w="28575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749113</xdr:colOff>
      <xdr:row>28</xdr:row>
      <xdr:rowOff>160524</xdr:rowOff>
    </xdr:from>
    <xdr:to>
      <xdr:col>3</xdr:col>
      <xdr:colOff>2340349</xdr:colOff>
      <xdr:row>40</xdr:row>
      <xdr:rowOff>112899</xdr:rowOff>
    </xdr:to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1AA2BD64-2B71-ED01-5D60-6F71EEFA77C4}"/>
            </a:ext>
          </a:extLst>
        </xdr:cNvPr>
        <xdr:cNvSpPr txBox="1"/>
      </xdr:nvSpPr>
      <xdr:spPr>
        <a:xfrm>
          <a:off x="749113" y="5994587"/>
          <a:ext cx="4663049" cy="2238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342900" lvl="0" indent="-342900" algn="l">
            <a:lnSpc>
              <a:spcPct val="107000"/>
            </a:lnSpc>
            <a:spcAft>
              <a:spcPts val="800"/>
            </a:spcAft>
            <a:buFont typeface="Wingdings" panose="05000000000000000000" pitchFamily="2" charset="2"/>
            <a:buChar char=""/>
          </a:pPr>
          <a:r>
            <a:rPr lang="es-CO" sz="1050" kern="1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Se</a:t>
          </a:r>
          <a:r>
            <a:rPr lang="es-CO" sz="1050" kern="100" baseline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debe diligenciar los campos marcados con *</a:t>
          </a:r>
          <a:endParaRPr lang="es-CO" sz="1050" kern="1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342900" marR="0" lvl="0" indent="-342900" algn="l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 typeface="Wingdings" panose="05000000000000000000" pitchFamily="2" charset="2"/>
            <a:buChar char=""/>
            <a:tabLst/>
            <a:defRPr/>
          </a:pPr>
          <a:r>
            <a:rPr lang="es-CO" sz="1050" b="1">
              <a:latin typeface="Arial" panose="020B0604020202020204" pitchFamily="34" charset="0"/>
              <a:cs typeface="Arial" panose="020B0604020202020204" pitchFamily="34" charset="0"/>
            </a:rPr>
            <a:t>VTUA- Valor total unificado del activo:</a:t>
          </a:r>
          <a:r>
            <a:rPr lang="es-CO" sz="1050">
              <a:latin typeface="Arial" panose="020B0604020202020204" pitchFamily="34" charset="0"/>
              <a:cs typeface="Arial" panose="020B0604020202020204" pitchFamily="34" charset="0"/>
            </a:rPr>
            <a:t> Es una proyección de los cobros inherentes o asociados al producto de crédito que está consultando.</a:t>
          </a:r>
        </a:p>
        <a:p>
          <a:pPr marL="342900" marR="0" lvl="0" indent="-342900" algn="l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 typeface="Wingdings" panose="05000000000000000000" pitchFamily="2" charset="2"/>
            <a:buChar char=""/>
            <a:tabLst/>
            <a:defRPr/>
          </a:pPr>
          <a:r>
            <a:rPr lang="es-CO" sz="1050">
              <a:latin typeface="Arial" panose="020B0604020202020204" pitchFamily="34" charset="0"/>
              <a:cs typeface="Arial" panose="020B0604020202020204" pitchFamily="34" charset="0"/>
            </a:rPr>
            <a:t>El VTUA se calcula mediante una proyección que incluye las cuotas del crédito, primas de seguros, comisiones y cualquier otro concepto inherente al producto que el cliente potencial tenga que pagar al Banco, y que sea inherente o se encuentre asociado al producto.</a:t>
          </a:r>
        </a:p>
        <a:p>
          <a:pPr marL="342900" marR="0" lvl="0" indent="-342900" algn="l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 typeface="Wingdings" panose="05000000000000000000" pitchFamily="2" charset="2"/>
            <a:buChar char=""/>
            <a:tabLst/>
            <a:defRPr/>
          </a:pPr>
          <a:r>
            <a:rPr lang="es-CO" sz="1050">
              <a:latin typeface="Arial" panose="020B0604020202020204" pitchFamily="34" charset="0"/>
              <a:cs typeface="Arial" panose="020B0604020202020204" pitchFamily="34" charset="0"/>
            </a:rPr>
            <a:t>Recuerda el VTUA es solo una proyección de los costos inherentes al producto consultado y no corresponde a una oferta comercial.</a:t>
          </a:r>
          <a:endParaRPr lang="es-CO" sz="1050" kern="1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2</xdr:col>
      <xdr:colOff>9525</xdr:colOff>
      <xdr:row>9</xdr:row>
      <xdr:rowOff>228600</xdr:rowOff>
    </xdr:to>
    <xdr:sp macro="" textlink="">
      <xdr:nvSpPr>
        <xdr:cNvPr id="4" name="Rectángulo: esquinas redondeadas 3">
          <a:extLst>
            <a:ext uri="{FF2B5EF4-FFF2-40B4-BE49-F238E27FC236}">
              <a16:creationId xmlns:a16="http://schemas.microsoft.com/office/drawing/2014/main" id="{A4482A0C-53B3-4413-95EB-E8EE37A75A48}"/>
            </a:ext>
          </a:extLst>
        </xdr:cNvPr>
        <xdr:cNvSpPr/>
      </xdr:nvSpPr>
      <xdr:spPr>
        <a:xfrm>
          <a:off x="2286000" y="2510118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750094</xdr:colOff>
      <xdr:row>16</xdr:row>
      <xdr:rowOff>0</xdr:rowOff>
    </xdr:from>
    <xdr:to>
      <xdr:col>3</xdr:col>
      <xdr:colOff>2355056</xdr:colOff>
      <xdr:row>17</xdr:row>
      <xdr:rowOff>9525</xdr:rowOff>
    </xdr:to>
    <xdr:sp macro="" textlink="">
      <xdr:nvSpPr>
        <xdr:cNvPr id="5" name="Rectángulo: esquinas redondeadas 4">
          <a:extLst>
            <a:ext uri="{FF2B5EF4-FFF2-40B4-BE49-F238E27FC236}">
              <a16:creationId xmlns:a16="http://schemas.microsoft.com/office/drawing/2014/main" id="{C6DE9FC2-F192-4F11-A4AC-811D281586A3}"/>
            </a:ext>
          </a:extLst>
        </xdr:cNvPr>
        <xdr:cNvSpPr/>
      </xdr:nvSpPr>
      <xdr:spPr>
        <a:xfrm>
          <a:off x="2274094" y="3702844"/>
          <a:ext cx="4676775" cy="211931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2</xdr:col>
      <xdr:colOff>9525</xdr:colOff>
      <xdr:row>18</xdr:row>
      <xdr:rowOff>228600</xdr:rowOff>
    </xdr:to>
    <xdr:sp macro="" textlink="">
      <xdr:nvSpPr>
        <xdr:cNvPr id="26" name="Rectángulo: esquinas redondeadas 25">
          <a:extLst>
            <a:ext uri="{FF2B5EF4-FFF2-40B4-BE49-F238E27FC236}">
              <a16:creationId xmlns:a16="http://schemas.microsoft.com/office/drawing/2014/main" id="{375653D7-125D-41E6-9746-2CC8A3579D4D}"/>
            </a:ext>
          </a:extLst>
        </xdr:cNvPr>
        <xdr:cNvSpPr/>
      </xdr:nvSpPr>
      <xdr:spPr>
        <a:xfrm>
          <a:off x="2286000" y="4762500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2</xdr:col>
      <xdr:colOff>9525</xdr:colOff>
      <xdr:row>19</xdr:row>
      <xdr:rowOff>228600</xdr:rowOff>
    </xdr:to>
    <xdr:sp macro="" textlink="">
      <xdr:nvSpPr>
        <xdr:cNvPr id="27" name="Rectángulo: esquinas redondeadas 26">
          <a:extLst>
            <a:ext uri="{FF2B5EF4-FFF2-40B4-BE49-F238E27FC236}">
              <a16:creationId xmlns:a16="http://schemas.microsoft.com/office/drawing/2014/main" id="{20324E75-97EE-404A-82EE-1E9A47006D34}"/>
            </a:ext>
          </a:extLst>
        </xdr:cNvPr>
        <xdr:cNvSpPr/>
      </xdr:nvSpPr>
      <xdr:spPr>
        <a:xfrm>
          <a:off x="2286000" y="5009029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2</xdr:col>
      <xdr:colOff>9525</xdr:colOff>
      <xdr:row>20</xdr:row>
      <xdr:rowOff>228600</xdr:rowOff>
    </xdr:to>
    <xdr:sp macro="" textlink="">
      <xdr:nvSpPr>
        <xdr:cNvPr id="28" name="Rectángulo: esquinas redondeadas 27">
          <a:extLst>
            <a:ext uri="{FF2B5EF4-FFF2-40B4-BE49-F238E27FC236}">
              <a16:creationId xmlns:a16="http://schemas.microsoft.com/office/drawing/2014/main" id="{C37A8293-B1EB-493A-89BC-9A5A4859E9B2}"/>
            </a:ext>
          </a:extLst>
        </xdr:cNvPr>
        <xdr:cNvSpPr/>
      </xdr:nvSpPr>
      <xdr:spPr>
        <a:xfrm>
          <a:off x="2286000" y="5255559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21</xdr:row>
      <xdr:rowOff>0</xdr:rowOff>
    </xdr:from>
    <xdr:to>
      <xdr:col>2</xdr:col>
      <xdr:colOff>9525</xdr:colOff>
      <xdr:row>21</xdr:row>
      <xdr:rowOff>228600</xdr:rowOff>
    </xdr:to>
    <xdr:sp macro="" textlink="">
      <xdr:nvSpPr>
        <xdr:cNvPr id="29" name="Rectángulo: esquinas redondeadas 28">
          <a:extLst>
            <a:ext uri="{FF2B5EF4-FFF2-40B4-BE49-F238E27FC236}">
              <a16:creationId xmlns:a16="http://schemas.microsoft.com/office/drawing/2014/main" id="{76352980-67DE-4053-B464-3E40E5AF20E7}"/>
            </a:ext>
          </a:extLst>
        </xdr:cNvPr>
        <xdr:cNvSpPr/>
      </xdr:nvSpPr>
      <xdr:spPr>
        <a:xfrm>
          <a:off x="2286000" y="5502088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22</xdr:row>
      <xdr:rowOff>0</xdr:rowOff>
    </xdr:from>
    <xdr:to>
      <xdr:col>2</xdr:col>
      <xdr:colOff>9525</xdr:colOff>
      <xdr:row>22</xdr:row>
      <xdr:rowOff>228600</xdr:rowOff>
    </xdr:to>
    <xdr:sp macro="" textlink="">
      <xdr:nvSpPr>
        <xdr:cNvPr id="30" name="Rectángulo: esquinas redondeadas 29">
          <a:extLst>
            <a:ext uri="{FF2B5EF4-FFF2-40B4-BE49-F238E27FC236}">
              <a16:creationId xmlns:a16="http://schemas.microsoft.com/office/drawing/2014/main" id="{B65BCC11-EC2B-493B-8F54-C6E5EFA88953}"/>
            </a:ext>
          </a:extLst>
        </xdr:cNvPr>
        <xdr:cNvSpPr/>
      </xdr:nvSpPr>
      <xdr:spPr>
        <a:xfrm>
          <a:off x="2286000" y="5748618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23</xdr:row>
      <xdr:rowOff>0</xdr:rowOff>
    </xdr:from>
    <xdr:to>
      <xdr:col>2</xdr:col>
      <xdr:colOff>9525</xdr:colOff>
      <xdr:row>23</xdr:row>
      <xdr:rowOff>228600</xdr:rowOff>
    </xdr:to>
    <xdr:sp macro="" textlink="">
      <xdr:nvSpPr>
        <xdr:cNvPr id="31" name="Rectángulo: esquinas redondeadas 30">
          <a:extLst>
            <a:ext uri="{FF2B5EF4-FFF2-40B4-BE49-F238E27FC236}">
              <a16:creationId xmlns:a16="http://schemas.microsoft.com/office/drawing/2014/main" id="{9C340A58-8896-4C74-B203-7837388DD07D}"/>
            </a:ext>
          </a:extLst>
        </xdr:cNvPr>
        <xdr:cNvSpPr/>
      </xdr:nvSpPr>
      <xdr:spPr>
        <a:xfrm>
          <a:off x="2286000" y="5995147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228600</xdr:rowOff>
    </xdr:to>
    <xdr:sp macro="" textlink="">
      <xdr:nvSpPr>
        <xdr:cNvPr id="32" name="Rectángulo: esquinas redondeadas 31">
          <a:extLst>
            <a:ext uri="{FF2B5EF4-FFF2-40B4-BE49-F238E27FC236}">
              <a16:creationId xmlns:a16="http://schemas.microsoft.com/office/drawing/2014/main" id="{CB628CBA-3B18-4114-9980-7CCACC123770}"/>
            </a:ext>
          </a:extLst>
        </xdr:cNvPr>
        <xdr:cNvSpPr/>
      </xdr:nvSpPr>
      <xdr:spPr>
        <a:xfrm>
          <a:off x="2286000" y="6241676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228600</xdr:rowOff>
    </xdr:to>
    <xdr:sp macro="" textlink="">
      <xdr:nvSpPr>
        <xdr:cNvPr id="33" name="Rectángulo: esquinas redondeadas 32">
          <a:extLst>
            <a:ext uri="{FF2B5EF4-FFF2-40B4-BE49-F238E27FC236}">
              <a16:creationId xmlns:a16="http://schemas.microsoft.com/office/drawing/2014/main" id="{1EB82A63-9A6B-43A6-9072-C534D881F284}"/>
            </a:ext>
          </a:extLst>
        </xdr:cNvPr>
        <xdr:cNvSpPr/>
      </xdr:nvSpPr>
      <xdr:spPr>
        <a:xfrm>
          <a:off x="2286000" y="6488206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2" connectionId="2" xr16:uid="{5CD7F0A8-9C79-4004-8726-DC1591E53881}" autoFormatId="16" applyNumberFormats="0" applyBorderFormats="0" applyFontFormats="0" applyPatternFormats="0" applyAlignmentFormats="0" applyWidthHeightFormats="0">
  <queryTableRefresh nextId="5">
    <queryTableFields count="4">
      <queryTableField id="1" name="comod" tableColumnId="1"/>
      <queryTableField id="2" name="cocod" tableColumnId="2"/>
      <queryTableField id="3" name="comto" tableColumnId="3"/>
      <queryTableField id="4" name="cotasap" tableColumnId="4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6C2608FA-1D7A-4FF7-BEC1-72E269C9F18E}" autoFormatId="16" applyNumberFormats="0" applyBorderFormats="0" applyFontFormats="0" applyPatternFormats="0" applyAlignmentFormats="0" applyWidthHeightFormats="0">
  <queryTableRefresh nextId="26">
    <queryTableFields count="10">
      <queryTableField id="13" name="Modulo" tableColumnId="11"/>
      <queryTableField id="14" name="Mdnom" tableColumnId="12"/>
      <queryTableField id="15" name="Modulo2" tableColumnId="13"/>
      <queryTableField id="16" name="Totope" tableColumnId="14"/>
      <queryTableField id="17" name="Tonom" tableColumnId="15"/>
      <queryTableField id="7" name="Tamto" tableColumnId="7"/>
      <queryTableField id="9" name="Tatasa" tableColumnId="9"/>
      <queryTableField id="18" name="Tpizar" tableColumnId="16"/>
      <queryTableField id="19" name="Tapzo" tableColumnId="17"/>
      <queryTableField id="20" name="Tafdes" tableColumnId="1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749345-B9DA-450A-9733-F45EEF2053D6}" name="Tabla_Comision" displayName="Tabla_Comision" ref="A1:D13" tableType="queryTable" totalsRowShown="0">
  <autoFilter ref="A1:D13" xr:uid="{84749345-B9DA-450A-9733-F45EEF2053D6}"/>
  <tableColumns count="4">
    <tableColumn id="1" xr3:uid="{AD37697C-C5FC-4254-9B68-06B625F4FAF5}" uniqueName="1" name="comod" queryTableFieldId="1"/>
    <tableColumn id="2" xr3:uid="{AA5B5ABB-FB2B-4A78-945D-063CD3043EC6}" uniqueName="2" name="cocod" queryTableFieldId="2"/>
    <tableColumn id="3" xr3:uid="{EB3A42E6-3753-426F-9A05-0ECACCDB5BCC}" uniqueName="3" name="comto" queryTableFieldId="3"/>
    <tableColumn id="4" xr3:uid="{8F8F64C4-BB0E-40E0-8CAD-401918CB94F2}" uniqueName="4" name="cotasap" queryTableFieldId="4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7CEC1C-A5CC-4B57-A47F-53B0EBD8DAE0}" name="Tabla_Actualizacion_Tasas" displayName="Tabla_Actualizacion_Tasas" ref="A1:J7" tableType="queryTable" totalsRowShown="0">
  <autoFilter ref="A1:J7" xr:uid="{417CEC1C-A5CC-4B57-A47F-53B0EBD8DAE0}"/>
  <tableColumns count="10">
    <tableColumn id="11" xr3:uid="{4C45F0DA-8CE3-4797-BC28-64290AAFBC93}" uniqueName="11" name="Modulo" queryTableFieldId="13"/>
    <tableColumn id="12" xr3:uid="{A1C9A39D-0D33-4D5B-89B9-9D11A902411C}" uniqueName="12" name="Mdnom" queryTableFieldId="14" dataDxfId="3"/>
    <tableColumn id="13" xr3:uid="{24656A07-0B39-4767-BA42-EF544A91EE9D}" uniqueName="13" name="Modulo2" queryTableFieldId="15"/>
    <tableColumn id="14" xr3:uid="{FF6B883E-C174-4F49-9207-5CC82EABBF45}" uniqueName="14" name="Totope" queryTableFieldId="16"/>
    <tableColumn id="15" xr3:uid="{3EE8F8C0-EB88-41A4-86B7-FA6AC0276BD0}" uniqueName="15" name="Tonom" queryTableFieldId="17" dataDxfId="2"/>
    <tableColumn id="7" xr3:uid="{A7939570-B8EE-4768-9FCA-CC279156374A}" uniqueName="7" name="Tamto" queryTableFieldId="7"/>
    <tableColumn id="9" xr3:uid="{8354ABE2-12AB-49EB-964E-841DCEB75B71}" uniqueName="9" name="Tatasa" queryTableFieldId="9" dataDxfId="1" dataCellStyle="Millares"/>
    <tableColumn id="16" xr3:uid="{ABE9A744-8AD8-465F-9F17-4B44A535A694}" uniqueName="16" name="Tpizar" queryTableFieldId="18"/>
    <tableColumn id="17" xr3:uid="{59C9DBBE-C208-445C-96D6-780E9CC6F152}" uniqueName="17" name="Tapzo" queryTableFieldId="19"/>
    <tableColumn id="18" xr3:uid="{2E623597-06FD-473D-AEBE-58366CAA4A89}" uniqueName="18" name="Tafdes" queryTableFieldId="20" dataDxfId="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FDBF742-128E-412F-804E-C1303A6309BE}" name="Tabla5" displayName="Tabla5" ref="A10:A13" totalsRowShown="0">
  <autoFilter ref="A10:A13" xr:uid="{DFDBF742-128E-412F-804E-C1303A6309BE}"/>
  <tableColumns count="1">
    <tableColumn id="1" xr3:uid="{AA2229C1-8376-4942-B070-24D2AD9233BF}" name="PRODUCTO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0CCED1C-013C-41B2-99D3-FD336A038938}" name="Tabla3" displayName="Tabla3" ref="A16:A22" totalsRowShown="0">
  <autoFilter ref="A16:A22" xr:uid="{30CCED1C-013C-41B2-99D3-FD336A038938}"/>
  <tableColumns count="1">
    <tableColumn id="1" xr3:uid="{8FBD260B-08E3-405C-B09A-3D3ABF6CBFC5}" name="FRECUENCIA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35420-13A1-4265-819F-589F35A135E3}">
  <sheetPr codeName="Hoja1"/>
  <dimension ref="A1:D13"/>
  <sheetViews>
    <sheetView workbookViewId="0">
      <selection activeCell="F8" sqref="F8"/>
    </sheetView>
  </sheetViews>
  <sheetFormatPr baseColWidth="10" defaultColWidth="11.42578125" defaultRowHeight="15" x14ac:dyDescent="0.25"/>
  <cols>
    <col min="1" max="1" width="9.28515625" bestFit="1" customWidth="1"/>
    <col min="2" max="2" width="8.42578125" bestFit="1" customWidth="1"/>
    <col min="3" max="4" width="10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113</v>
      </c>
      <c r="B2">
        <v>11301</v>
      </c>
      <c r="C2">
        <v>3000000</v>
      </c>
      <c r="D2">
        <v>7.5</v>
      </c>
    </row>
    <row r="3" spans="1:4" x14ac:dyDescent="0.25">
      <c r="A3">
        <v>113</v>
      </c>
      <c r="B3">
        <v>11301</v>
      </c>
      <c r="C3">
        <v>5694000</v>
      </c>
      <c r="D3">
        <v>7</v>
      </c>
    </row>
    <row r="4" spans="1:4" x14ac:dyDescent="0.25">
      <c r="A4">
        <v>113</v>
      </c>
      <c r="B4">
        <v>11301</v>
      </c>
      <c r="C4">
        <v>8541000</v>
      </c>
      <c r="D4">
        <v>4.5</v>
      </c>
    </row>
    <row r="5" spans="1:4" x14ac:dyDescent="0.25">
      <c r="A5">
        <v>113</v>
      </c>
      <c r="B5">
        <v>11301</v>
      </c>
      <c r="C5">
        <v>35587500</v>
      </c>
      <c r="D5">
        <v>4.5</v>
      </c>
    </row>
    <row r="6" spans="1:4" x14ac:dyDescent="0.25">
      <c r="A6">
        <v>113</v>
      </c>
      <c r="B6">
        <v>11301</v>
      </c>
      <c r="C6">
        <v>61000000</v>
      </c>
      <c r="D6">
        <v>0</v>
      </c>
    </row>
    <row r="7" spans="1:4" x14ac:dyDescent="0.25">
      <c r="A7">
        <v>113</v>
      </c>
      <c r="B7">
        <v>11301</v>
      </c>
      <c r="C7">
        <v>170820000</v>
      </c>
      <c r="D7">
        <v>0</v>
      </c>
    </row>
    <row r="8" spans="1:4" x14ac:dyDescent="0.25">
      <c r="A8">
        <v>113</v>
      </c>
      <c r="B8">
        <v>11301</v>
      </c>
      <c r="C8">
        <v>3000000</v>
      </c>
      <c r="D8">
        <v>7.5</v>
      </c>
    </row>
    <row r="9" spans="1:4" x14ac:dyDescent="0.25">
      <c r="A9">
        <v>113</v>
      </c>
      <c r="B9">
        <v>11301</v>
      </c>
      <c r="C9">
        <v>5694000</v>
      </c>
      <c r="D9">
        <v>7</v>
      </c>
    </row>
    <row r="10" spans="1:4" x14ac:dyDescent="0.25">
      <c r="A10">
        <v>113</v>
      </c>
      <c r="B10">
        <v>11301</v>
      </c>
      <c r="C10">
        <v>8541000</v>
      </c>
      <c r="D10">
        <v>4.5</v>
      </c>
    </row>
    <row r="11" spans="1:4" x14ac:dyDescent="0.25">
      <c r="A11">
        <v>113</v>
      </c>
      <c r="B11">
        <v>11301</v>
      </c>
      <c r="C11">
        <v>35587500</v>
      </c>
      <c r="D11">
        <v>4.5</v>
      </c>
    </row>
    <row r="12" spans="1:4" x14ac:dyDescent="0.25">
      <c r="A12">
        <v>113</v>
      </c>
      <c r="B12">
        <v>11301</v>
      </c>
      <c r="C12">
        <v>61000000</v>
      </c>
      <c r="D12">
        <v>0</v>
      </c>
    </row>
    <row r="13" spans="1:4" x14ac:dyDescent="0.25">
      <c r="A13">
        <v>113</v>
      </c>
      <c r="B13">
        <v>11301</v>
      </c>
      <c r="C13">
        <v>170820000</v>
      </c>
      <c r="D13">
        <v>0</v>
      </c>
    </row>
  </sheetData>
  <sheetProtection selectLockedCells="1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65027-5B78-4B40-B3F7-A873ABFCDF0B}">
  <sheetPr codeName="Hoja3"/>
  <dimension ref="A1:J22"/>
  <sheetViews>
    <sheetView workbookViewId="0">
      <selection activeCell="F4" sqref="F4"/>
    </sheetView>
  </sheetViews>
  <sheetFormatPr baseColWidth="10" defaultColWidth="11.42578125" defaultRowHeight="15" x14ac:dyDescent="0.25"/>
  <cols>
    <col min="1" max="1" width="10.28515625" bestFit="1" customWidth="1"/>
    <col min="2" max="2" width="28.7109375" bestFit="1" customWidth="1"/>
    <col min="3" max="3" width="11.28515625" bestFit="1" customWidth="1"/>
    <col min="4" max="4" width="9.5703125" bestFit="1" customWidth="1"/>
    <col min="5" max="5" width="25" bestFit="1" customWidth="1"/>
    <col min="6" max="6" width="10.140625" bestFit="1" customWidth="1"/>
    <col min="7" max="7" width="8.85546875" bestFit="1" customWidth="1"/>
    <col min="8" max="8" width="8.5703125" bestFit="1" customWidth="1"/>
    <col min="9" max="9" width="8.42578125" bestFit="1" customWidth="1"/>
    <col min="10" max="10" width="13.85546875" bestFit="1" customWidth="1"/>
    <col min="11" max="11" width="10.28515625" bestFit="1" customWidth="1"/>
    <col min="12" max="12" width="28.7109375" bestFit="1" customWidth="1"/>
    <col min="13" max="13" width="11.28515625" bestFit="1" customWidth="1"/>
    <col min="14" max="14" width="9.5703125" bestFit="1" customWidth="1"/>
    <col min="15" max="15" width="30.85546875" bestFit="1" customWidth="1"/>
    <col min="16" max="16" width="8.5703125" bestFit="1" customWidth="1"/>
    <col min="17" max="17" width="8.42578125" bestFit="1" customWidth="1"/>
    <col min="18" max="18" width="13.7109375" bestFit="1" customWidth="1"/>
  </cols>
  <sheetData>
    <row r="1" spans="1:10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</row>
    <row r="2" spans="1:10" x14ac:dyDescent="0.25">
      <c r="A2">
        <v>113</v>
      </c>
      <c r="B2" t="s">
        <v>14</v>
      </c>
      <c r="C2">
        <v>113</v>
      </c>
      <c r="D2">
        <v>1</v>
      </c>
      <c r="E2" t="s">
        <v>15</v>
      </c>
      <c r="F2">
        <v>3000000</v>
      </c>
      <c r="G2" s="12">
        <v>72</v>
      </c>
      <c r="H2">
        <v>11301</v>
      </c>
      <c r="I2">
        <v>1</v>
      </c>
      <c r="J2" s="17">
        <v>45693</v>
      </c>
    </row>
    <row r="3" spans="1:10" x14ac:dyDescent="0.25">
      <c r="A3">
        <v>113</v>
      </c>
      <c r="B3" t="s">
        <v>14</v>
      </c>
      <c r="C3">
        <v>113</v>
      </c>
      <c r="D3">
        <v>1</v>
      </c>
      <c r="E3" t="s">
        <v>15</v>
      </c>
      <c r="F3">
        <v>5694000</v>
      </c>
      <c r="G3" s="12">
        <v>65.5</v>
      </c>
      <c r="H3">
        <v>11301</v>
      </c>
      <c r="I3">
        <v>1</v>
      </c>
      <c r="J3" s="17">
        <v>45693</v>
      </c>
    </row>
    <row r="4" spans="1:10" x14ac:dyDescent="0.25">
      <c r="A4">
        <v>113</v>
      </c>
      <c r="B4" t="s">
        <v>14</v>
      </c>
      <c r="C4">
        <v>113</v>
      </c>
      <c r="D4">
        <v>1</v>
      </c>
      <c r="E4" t="s">
        <v>15</v>
      </c>
      <c r="F4">
        <v>8541000</v>
      </c>
      <c r="G4" s="12">
        <v>65.5</v>
      </c>
      <c r="H4">
        <v>11301</v>
      </c>
      <c r="I4">
        <v>1</v>
      </c>
      <c r="J4" s="17">
        <v>45693</v>
      </c>
    </row>
    <row r="5" spans="1:10" x14ac:dyDescent="0.25">
      <c r="A5">
        <v>113</v>
      </c>
      <c r="B5" t="s">
        <v>14</v>
      </c>
      <c r="C5">
        <v>113</v>
      </c>
      <c r="D5">
        <v>1</v>
      </c>
      <c r="E5" t="s">
        <v>15</v>
      </c>
      <c r="F5">
        <v>35587500</v>
      </c>
      <c r="G5" s="12">
        <v>52.1</v>
      </c>
      <c r="H5">
        <v>11301</v>
      </c>
      <c r="I5">
        <v>1</v>
      </c>
      <c r="J5" s="17">
        <v>45693</v>
      </c>
    </row>
    <row r="6" spans="1:10" x14ac:dyDescent="0.25">
      <c r="A6">
        <v>113</v>
      </c>
      <c r="B6" t="s">
        <v>14</v>
      </c>
      <c r="C6">
        <v>113</v>
      </c>
      <c r="D6">
        <v>1</v>
      </c>
      <c r="E6" t="s">
        <v>15</v>
      </c>
      <c r="F6">
        <v>61000000</v>
      </c>
      <c r="G6" s="12">
        <v>40.700000000000003</v>
      </c>
      <c r="H6">
        <v>11301</v>
      </c>
      <c r="I6">
        <v>1</v>
      </c>
      <c r="J6" s="17">
        <v>45693</v>
      </c>
    </row>
    <row r="7" spans="1:10" x14ac:dyDescent="0.25">
      <c r="A7">
        <v>113</v>
      </c>
      <c r="B7" t="s">
        <v>14</v>
      </c>
      <c r="C7">
        <v>113</v>
      </c>
      <c r="D7">
        <v>1</v>
      </c>
      <c r="E7" t="s">
        <v>15</v>
      </c>
      <c r="F7">
        <v>170820000</v>
      </c>
      <c r="G7" s="12">
        <v>40.299999999999997</v>
      </c>
      <c r="H7">
        <v>11301</v>
      </c>
      <c r="I7">
        <v>1</v>
      </c>
      <c r="J7" s="17">
        <v>45693</v>
      </c>
    </row>
    <row r="10" spans="1:10" x14ac:dyDescent="0.25">
      <c r="A10" t="s">
        <v>16</v>
      </c>
    </row>
    <row r="11" spans="1:10" x14ac:dyDescent="0.25">
      <c r="A11" t="s">
        <v>17</v>
      </c>
    </row>
    <row r="12" spans="1:10" x14ac:dyDescent="0.25">
      <c r="A12" t="s">
        <v>18</v>
      </c>
    </row>
    <row r="13" spans="1:10" x14ac:dyDescent="0.25">
      <c r="A13" t="s">
        <v>19</v>
      </c>
    </row>
    <row r="16" spans="1:10" x14ac:dyDescent="0.25">
      <c r="A16" t="s">
        <v>20</v>
      </c>
    </row>
    <row r="17" spans="1:1" x14ac:dyDescent="0.25">
      <c r="A17" t="s">
        <v>21</v>
      </c>
    </row>
    <row r="18" spans="1:1" x14ac:dyDescent="0.25">
      <c r="A18" t="s">
        <v>22</v>
      </c>
    </row>
    <row r="19" spans="1:1" x14ac:dyDescent="0.25">
      <c r="A19" t="s">
        <v>23</v>
      </c>
    </row>
    <row r="20" spans="1:1" x14ac:dyDescent="0.25">
      <c r="A20" t="s">
        <v>24</v>
      </c>
    </row>
    <row r="21" spans="1:1" x14ac:dyDescent="0.25">
      <c r="A21" t="s">
        <v>25</v>
      </c>
    </row>
    <row r="22" spans="1:1" x14ac:dyDescent="0.25">
      <c r="A22" t="s">
        <v>26</v>
      </c>
    </row>
  </sheetData>
  <sheetProtection selectLockedCells="1"/>
  <phoneticPr fontId="4" type="noConversion"/>
  <pageMargins left="0.7" right="0.7" top="0.75" bottom="0.75" header="0.3" footer="0.3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B47F-A165-403E-B6BE-1C53833B8FBB}">
  <sheetPr codeName="Hoja2">
    <tabColor theme="0"/>
  </sheetPr>
  <dimension ref="A1:H42"/>
  <sheetViews>
    <sheetView showGridLines="0" tabSelected="1" zoomScaleNormal="100" workbookViewId="0">
      <selection activeCell="D8" sqref="D8"/>
    </sheetView>
  </sheetViews>
  <sheetFormatPr baseColWidth="10" defaultColWidth="11.42578125" defaultRowHeight="15" x14ac:dyDescent="0.25"/>
  <cols>
    <col min="2" max="2" width="33.140625" customWidth="1"/>
    <col min="3" max="3" width="1.42578125" customWidth="1"/>
    <col min="4" max="4" width="35.28515625" customWidth="1"/>
    <col min="5" max="5" width="10.42578125" customWidth="1"/>
    <col min="6" max="6" width="12.85546875" bestFit="1" customWidth="1"/>
    <col min="7" max="7" width="23.140625" customWidth="1"/>
  </cols>
  <sheetData>
    <row r="1" spans="1:8" ht="10.5" customHeight="1" x14ac:dyDescent="0.25">
      <c r="A1" s="22"/>
      <c r="B1" s="22"/>
      <c r="C1" s="22"/>
      <c r="D1" s="22"/>
      <c r="E1" s="22"/>
    </row>
    <row r="2" spans="1:8" ht="10.5" customHeight="1" x14ac:dyDescent="0.25">
      <c r="A2" s="22"/>
      <c r="B2" s="22"/>
      <c r="C2" s="22"/>
      <c r="D2" s="22"/>
      <c r="E2" s="22"/>
    </row>
    <row r="3" spans="1:8" ht="10.5" customHeight="1" x14ac:dyDescent="0.25">
      <c r="A3" s="22"/>
      <c r="B3" s="22"/>
      <c r="C3" s="22"/>
      <c r="D3" s="22"/>
      <c r="E3" s="22"/>
    </row>
    <row r="4" spans="1:8" ht="15.75" x14ac:dyDescent="0.25">
      <c r="A4" s="22"/>
      <c r="B4" s="40" t="s">
        <v>27</v>
      </c>
      <c r="C4" s="40"/>
      <c r="D4" s="40"/>
      <c r="E4" s="22"/>
    </row>
    <row r="5" spans="1:8" x14ac:dyDescent="0.25">
      <c r="A5" s="22"/>
      <c r="B5" s="41"/>
      <c r="C5" s="41"/>
      <c r="D5" s="41"/>
      <c r="E5" s="22"/>
    </row>
    <row r="6" spans="1:8" ht="19.5" customHeight="1" thickBot="1" x14ac:dyDescent="0.3">
      <c r="A6" s="22"/>
      <c r="B6" s="23" t="s">
        <v>28</v>
      </c>
      <c r="C6" s="23"/>
      <c r="D6" s="29" t="s">
        <v>19</v>
      </c>
      <c r="E6" s="24" t="s">
        <v>29</v>
      </c>
      <c r="H6" s="18"/>
    </row>
    <row r="7" spans="1:8" ht="19.5" customHeight="1" thickBot="1" x14ac:dyDescent="0.3">
      <c r="A7" s="22"/>
      <c r="B7" s="22" t="s">
        <v>30</v>
      </c>
      <c r="C7" s="22"/>
      <c r="D7" s="30">
        <v>7800000</v>
      </c>
      <c r="E7" s="24" t="s">
        <v>29</v>
      </c>
      <c r="H7" s="19"/>
    </row>
    <row r="8" spans="1:8" ht="19.5" customHeight="1" thickBot="1" x14ac:dyDescent="0.3">
      <c r="A8" s="22"/>
      <c r="B8" s="22" t="s">
        <v>31</v>
      </c>
      <c r="C8" s="22"/>
      <c r="D8" s="30" t="s">
        <v>21</v>
      </c>
      <c r="E8" s="24" t="s">
        <v>29</v>
      </c>
      <c r="H8" s="19"/>
    </row>
    <row r="9" spans="1:8" ht="19.5" customHeight="1" thickBot="1" x14ac:dyDescent="0.3">
      <c r="A9" s="22"/>
      <c r="B9" s="23" t="s">
        <v>32</v>
      </c>
      <c r="C9" s="23"/>
      <c r="D9" s="31" cm="1">
        <f t="array" ref="D9">_xlfn.IFS(D6="CREDITO DE CONSUMO",_xlfn.XLOOKUP(D7,'Actualizacion Tasas'!F2,'Actualizacion Tasas'!G2,,1)/100,D6="CREDITO COMERCIAL",_xlfn.XLOOKUP(D7,'Actualizacion Tasas'!F3,'Actualizacion Tasas'!G3,,1)/100,D6="MICROCREDITO",_xlfn.XLOOKUP(D7,'Actualizacion Tasas'!F4:F7,'Actualizacion Tasas'!G4:G7,,1)/100)</f>
        <v>0.65500000000000003</v>
      </c>
      <c r="E9" s="22"/>
      <c r="H9" s="18"/>
    </row>
    <row r="10" spans="1:8" ht="19.5" customHeight="1" thickBot="1" x14ac:dyDescent="0.3">
      <c r="A10" s="22"/>
      <c r="B10" s="23" t="s">
        <v>33</v>
      </c>
      <c r="C10" s="23"/>
      <c r="D10" s="31">
        <f>+((1+D9)^(30/360))-1</f>
        <v>4.2877184994690509E-2</v>
      </c>
      <c r="E10" s="22"/>
    </row>
    <row r="11" spans="1:8" ht="19.5" customHeight="1" thickBot="1" x14ac:dyDescent="0.3">
      <c r="A11" s="22"/>
      <c r="B11" s="22" t="s">
        <v>34</v>
      </c>
      <c r="C11" s="22"/>
      <c r="D11" s="32">
        <v>12</v>
      </c>
      <c r="E11" s="24" t="s">
        <v>29</v>
      </c>
    </row>
    <row r="12" spans="1:8" ht="19.5" customHeight="1" thickBot="1" x14ac:dyDescent="0.3">
      <c r="A12" s="22"/>
      <c r="B12" s="23" t="s">
        <v>35</v>
      </c>
      <c r="C12" s="23"/>
      <c r="D12" s="33" cm="1">
        <f t="array" ref="D12">_xlfn.IFS(D8="Mensual",D7*0.1%,D8="Bimensual",(D7*0.1%)*2,D8="Trimestral",(D7*0.1%)*3,D8="Cuatrimestral",(D7*0.1%)*4,D8="Quinquemestral",(D7*0.1%)*5,D8="Semestral",(D7*0.1%)*6)</f>
        <v>7800</v>
      </c>
      <c r="E12" s="22"/>
      <c r="G12" s="2"/>
      <c r="H12" s="4"/>
    </row>
    <row r="13" spans="1:8" ht="7.5" customHeight="1" x14ac:dyDescent="0.25">
      <c r="A13" s="22"/>
      <c r="B13" s="22"/>
      <c r="C13" s="22"/>
      <c r="D13" s="34"/>
      <c r="E13" s="22"/>
      <c r="G13" s="2"/>
      <c r="H13" s="3"/>
    </row>
    <row r="14" spans="1:8" ht="19.5" customHeight="1" thickBot="1" x14ac:dyDescent="0.3">
      <c r="A14" s="22"/>
      <c r="B14" s="25" t="s">
        <v>36</v>
      </c>
      <c r="C14" s="25"/>
      <c r="D14" s="35">
        <f>'Tabla Amortizacion'!C4+'Tabla Amortizacion'!G13+'Tabla Amortizacion'!H13</f>
        <v>879848.08182665834</v>
      </c>
      <c r="E14" s="22"/>
      <c r="G14" s="2"/>
    </row>
    <row r="15" spans="1:8" ht="6.75" customHeight="1" x14ac:dyDescent="0.25">
      <c r="A15" s="22"/>
      <c r="B15" s="22"/>
      <c r="C15" s="22"/>
      <c r="D15" s="34"/>
      <c r="E15" s="22"/>
    </row>
    <row r="16" spans="1:8" ht="5.25" customHeight="1" x14ac:dyDescent="0.25">
      <c r="A16" s="22"/>
      <c r="B16" s="22"/>
      <c r="C16" s="22"/>
      <c r="D16" s="22"/>
      <c r="E16" s="22"/>
    </row>
    <row r="17" spans="1:6" ht="15.75" x14ac:dyDescent="0.25">
      <c r="A17" s="22"/>
      <c r="B17" s="40" t="s">
        <v>37</v>
      </c>
      <c r="C17" s="40"/>
      <c r="D17" s="40"/>
      <c r="E17" s="22"/>
    </row>
    <row r="18" spans="1:6" x14ac:dyDescent="0.25">
      <c r="A18" s="22"/>
      <c r="B18" s="22"/>
      <c r="C18" s="22"/>
      <c r="D18" s="22"/>
      <c r="E18" s="22"/>
    </row>
    <row r="19" spans="1:6" ht="19.5" customHeight="1" thickBot="1" x14ac:dyDescent="0.3">
      <c r="A19" s="22"/>
      <c r="B19" s="22" t="s">
        <v>38</v>
      </c>
      <c r="C19" s="22"/>
      <c r="D19" s="26">
        <f>+D7</f>
        <v>7800000</v>
      </c>
      <c r="E19" s="22"/>
    </row>
    <row r="20" spans="1:6" ht="19.5" customHeight="1" thickBot="1" x14ac:dyDescent="0.3">
      <c r="A20" s="22"/>
      <c r="B20" s="22" t="s">
        <v>39</v>
      </c>
      <c r="C20" s="22"/>
      <c r="D20" s="36">
        <f>+'Tabla Amortizacion'!F94</f>
        <v>2340486.9819197371</v>
      </c>
      <c r="E20" s="22"/>
    </row>
    <row r="21" spans="1:6" ht="19.5" customHeight="1" thickBot="1" x14ac:dyDescent="0.3">
      <c r="A21" s="22"/>
      <c r="B21" s="22" t="s">
        <v>40</v>
      </c>
      <c r="C21" s="22"/>
      <c r="D21" s="36">
        <f>+'Tabla Amortizacion'!G94</f>
        <v>351000</v>
      </c>
      <c r="E21" s="22"/>
    </row>
    <row r="22" spans="1:6" ht="19.5" customHeight="1" thickBot="1" x14ac:dyDescent="0.3">
      <c r="A22" s="22"/>
      <c r="B22" s="22" t="s">
        <v>41</v>
      </c>
      <c r="C22" s="22"/>
      <c r="D22" s="36">
        <f>+'Tabla Amortizacion'!H94</f>
        <v>66690</v>
      </c>
      <c r="E22" s="22"/>
    </row>
    <row r="23" spans="1:6" ht="19.5" customHeight="1" thickBot="1" x14ac:dyDescent="0.3">
      <c r="A23" s="22"/>
      <c r="B23" s="22" t="s">
        <v>42</v>
      </c>
      <c r="C23" s="22"/>
      <c r="D23" s="37">
        <v>0</v>
      </c>
      <c r="E23" s="22"/>
    </row>
    <row r="24" spans="1:6" ht="19.5" customHeight="1" thickBot="1" x14ac:dyDescent="0.3">
      <c r="A24" s="22"/>
      <c r="B24" s="22" t="s">
        <v>43</v>
      </c>
      <c r="C24" s="22"/>
      <c r="D24" s="37">
        <v>0</v>
      </c>
      <c r="E24" s="22"/>
    </row>
    <row r="25" spans="1:6" ht="19.5" customHeight="1" thickBot="1" x14ac:dyDescent="0.3">
      <c r="A25" s="22"/>
      <c r="B25" s="22" t="s">
        <v>44</v>
      </c>
      <c r="C25" s="22"/>
      <c r="D25" s="37">
        <v>0</v>
      </c>
      <c r="E25" s="22"/>
    </row>
    <row r="26" spans="1:6" ht="19.5" customHeight="1" thickBot="1" x14ac:dyDescent="0.3">
      <c r="A26" s="22"/>
      <c r="B26" s="22" t="s">
        <v>35</v>
      </c>
      <c r="C26" s="22"/>
      <c r="D26" s="38">
        <f>D12*D11</f>
        <v>93600</v>
      </c>
      <c r="E26" s="22"/>
    </row>
    <row r="27" spans="1:6" ht="16.5" thickBot="1" x14ac:dyDescent="0.3">
      <c r="A27" s="22"/>
      <c r="B27" s="27" t="s">
        <v>45</v>
      </c>
      <c r="C27" s="27"/>
      <c r="D27" s="39">
        <f>SUM(D19:D26)</f>
        <v>10651776.981919738</v>
      </c>
      <c r="E27" s="22"/>
      <c r="F27" s="18"/>
    </row>
    <row r="28" spans="1:6" x14ac:dyDescent="0.25">
      <c r="A28" s="28"/>
      <c r="B28" s="28"/>
      <c r="C28" s="28"/>
      <c r="D28" s="28"/>
      <c r="E28" s="28"/>
    </row>
    <row r="29" spans="1:6" x14ac:dyDescent="0.25">
      <c r="A29" s="28"/>
      <c r="B29" s="28"/>
      <c r="C29" s="28"/>
      <c r="D29" s="28"/>
      <c r="E29" s="28"/>
    </row>
    <row r="30" spans="1:6" x14ac:dyDescent="0.25">
      <c r="A30" s="28"/>
      <c r="B30" s="28"/>
      <c r="C30" s="28"/>
      <c r="D30" s="28"/>
      <c r="E30" s="28"/>
    </row>
    <row r="31" spans="1:6" x14ac:dyDescent="0.25">
      <c r="A31" s="28"/>
      <c r="B31" s="28"/>
      <c r="C31" s="28"/>
      <c r="D31" s="28"/>
      <c r="E31" s="28"/>
    </row>
    <row r="32" spans="1:6" x14ac:dyDescent="0.25">
      <c r="A32" s="28"/>
      <c r="B32" s="28"/>
      <c r="C32" s="28"/>
      <c r="D32" s="28"/>
      <c r="E32" s="28"/>
    </row>
    <row r="33" spans="1:5" x14ac:dyDescent="0.25">
      <c r="A33" s="28"/>
      <c r="B33" s="28"/>
      <c r="C33" s="28"/>
      <c r="D33" s="28"/>
      <c r="E33" s="28"/>
    </row>
    <row r="34" spans="1:5" x14ac:dyDescent="0.25">
      <c r="A34" s="28"/>
      <c r="B34" s="28"/>
      <c r="C34" s="28"/>
      <c r="D34" s="28"/>
      <c r="E34" s="28"/>
    </row>
    <row r="35" spans="1:5" x14ac:dyDescent="0.25">
      <c r="A35" s="28"/>
      <c r="B35" s="28"/>
      <c r="C35" s="28"/>
      <c r="D35" s="28"/>
      <c r="E35" s="28"/>
    </row>
    <row r="36" spans="1:5" x14ac:dyDescent="0.25">
      <c r="A36" s="28"/>
      <c r="B36" s="28"/>
      <c r="C36" s="28"/>
      <c r="D36" s="28"/>
      <c r="E36" s="28"/>
    </row>
    <row r="37" spans="1:5" x14ac:dyDescent="0.25">
      <c r="A37" s="28"/>
      <c r="B37" s="28"/>
      <c r="C37" s="28"/>
      <c r="D37" s="28"/>
      <c r="E37" s="28"/>
    </row>
    <row r="38" spans="1:5" x14ac:dyDescent="0.25">
      <c r="A38" s="28"/>
      <c r="B38" s="28"/>
      <c r="C38" s="28"/>
      <c r="D38" s="28"/>
      <c r="E38" s="28"/>
    </row>
    <row r="39" spans="1:5" x14ac:dyDescent="0.25">
      <c r="A39" s="28"/>
      <c r="B39" s="28"/>
      <c r="C39" s="28"/>
      <c r="D39" s="28"/>
      <c r="E39" s="28"/>
    </row>
    <row r="40" spans="1:5" x14ac:dyDescent="0.25">
      <c r="A40" s="28"/>
      <c r="B40" s="28"/>
      <c r="C40" s="28"/>
      <c r="D40" s="28"/>
      <c r="E40" s="28"/>
    </row>
    <row r="41" spans="1:5" x14ac:dyDescent="0.25">
      <c r="A41" s="28"/>
      <c r="B41" s="28"/>
      <c r="C41" s="28"/>
      <c r="D41" s="28"/>
      <c r="E41" s="28"/>
    </row>
    <row r="42" spans="1:5" x14ac:dyDescent="0.25">
      <c r="A42" s="28"/>
      <c r="B42" s="28"/>
      <c r="C42" s="28"/>
      <c r="D42" s="28"/>
      <c r="E42" s="28"/>
    </row>
  </sheetData>
  <sheetProtection algorithmName="SHA-512" hashValue="ZxUOXGZ/e+FrHKIAmjvVjNB2zDYFqTxD5yCmr2wkz4jpBtoeSmN2ja6rX+nbn7nDY2kY6KoiauT0ro4KBeFp3A==" saltValue="bP7Fz94ntLI+TbnIjtra0A==" spinCount="100000" sheet="1" objects="1" scenarios="1" selectLockedCells="1"/>
  <mergeCells count="3">
    <mergeCell ref="B4:D4"/>
    <mergeCell ref="B5:D5"/>
    <mergeCell ref="B17:D17"/>
  </mergeCells>
  <phoneticPr fontId="4" type="noConversion"/>
  <dataValidations count="2">
    <dataValidation type="whole" allowBlank="1" showErrorMessage="1" errorTitle="Tener en Cuenta:" error="Recuerde que las lineas de credito tiene los siguientes rangos de montos:_x000a__x000a_Crédito de Consumo: 500.000 - 29.000.000_x000a__x000a_Crédito Comercial: 500.000 - 232.000.000_x000a__x000a_Microcredito: 500.000 - 139.200.000_x000a__x000a_" sqref="D7" xr:uid="{4FFE470F-2E6F-4CB2-8205-8C815936D892}">
      <formula1>500000</formula1>
      <formula2>_xlfn.IFS(D6="CREDITO DE CONSUMO",23200000,D6="CREDITO COMERCIAL",232000000,D6="MICROCREDITO",139200000)</formula2>
    </dataValidation>
    <dataValidation type="whole" allowBlank="1" showInputMessage="1" showErrorMessage="1" sqref="D11" xr:uid="{255FF0BE-78C1-457B-BBA3-FDCDE9849E30}">
      <formula1>1</formula1>
      <formula2>52</formula2>
    </dataValidation>
  </dataValidations>
  <pageMargins left="0.70866141732283472" right="0.70866141732283472" top="0.74803149606299213" bottom="0.74803149606299213" header="0.31496062992125984" footer="0.31496062992125984"/>
  <pageSetup scale="9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92820ECF-B73D-458A-B18D-B3DF4FBF428C}">
          <x14:formula1>
            <xm:f>'Actualizacion Tasas'!$A$12:$A$13</xm:f>
          </x14:formula1>
          <xm:sqref>D6</xm:sqref>
        </x14:dataValidation>
        <x14:dataValidation type="list" allowBlank="1" showErrorMessage="1" xr:uid="{450AB798-CDBE-4F40-BBBF-C9BE11E51ECA}">
          <x14:formula1>
            <xm:f>IF($D$6="CREDITO DE CONSUMO",'Actualizacion Tasas'!$A$17,'Actualizacion Tasas'!$A$17:$A$22)</xm:f>
          </x14:formula1>
          <xm:sqref>D8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3AECE-F282-4921-86D0-C2215A2CE244}">
  <sheetPr codeName="Hoja4"/>
  <dimension ref="A1:J100"/>
  <sheetViews>
    <sheetView workbookViewId="0">
      <selection activeCell="C94" sqref="C94"/>
    </sheetView>
  </sheetViews>
  <sheetFormatPr baseColWidth="10" defaultColWidth="11.42578125" defaultRowHeight="15" x14ac:dyDescent="0.25"/>
  <cols>
    <col min="1" max="1" width="28" customWidth="1"/>
    <col min="2" max="3" width="16.140625" customWidth="1"/>
    <col min="4" max="5" width="13.7109375" customWidth="1"/>
    <col min="6" max="6" width="18.28515625" customWidth="1"/>
    <col min="7" max="7" width="16.42578125" customWidth="1"/>
    <col min="8" max="8" width="13.7109375" customWidth="1"/>
  </cols>
  <sheetData>
    <row r="1" spans="1:10" x14ac:dyDescent="0.25">
      <c r="A1" t="s">
        <v>46</v>
      </c>
      <c r="B1" s="12">
        <f>ValorTotalUnificadoActivo!D7</f>
        <v>7800000</v>
      </c>
      <c r="C1" s="6"/>
      <c r="D1" s="7"/>
      <c r="E1" s="7"/>
      <c r="F1" s="7"/>
      <c r="G1" s="7"/>
      <c r="H1" s="7"/>
      <c r="I1" s="7"/>
      <c r="J1" s="7"/>
    </row>
    <row r="2" spans="1:10" x14ac:dyDescent="0.25">
      <c r="A2" t="s">
        <v>47</v>
      </c>
      <c r="B2" s="7">
        <f>ValorTotalUnificadoActivo!D11</f>
        <v>12</v>
      </c>
      <c r="C2" s="7"/>
      <c r="D2" s="7"/>
      <c r="E2" s="7"/>
      <c r="F2" s="7"/>
      <c r="G2" s="7"/>
      <c r="H2" s="7"/>
      <c r="I2" s="7"/>
      <c r="J2" s="7"/>
    </row>
    <row r="3" spans="1:10" x14ac:dyDescent="0.25">
      <c r="A3" t="s">
        <v>48</v>
      </c>
      <c r="B3" s="8">
        <f>+ValorTotalUnificadoActivo!D9</f>
        <v>0.65500000000000003</v>
      </c>
      <c r="C3" s="8"/>
      <c r="D3" s="7"/>
      <c r="E3" s="7"/>
      <c r="F3" s="7"/>
      <c r="G3" s="7"/>
      <c r="H3" s="7"/>
      <c r="I3" s="7"/>
      <c r="J3" s="7"/>
    </row>
    <row r="4" spans="1:10" x14ac:dyDescent="0.25">
      <c r="A4" t="s">
        <v>49</v>
      </c>
      <c r="B4" s="6"/>
      <c r="C4" s="16">
        <f>B1/E94</f>
        <v>845040.58182665834</v>
      </c>
      <c r="G4" s="7"/>
      <c r="H4" s="7"/>
      <c r="I4" s="7"/>
      <c r="J4" s="7"/>
    </row>
    <row r="5" spans="1:10" x14ac:dyDescent="0.25">
      <c r="B5" s="7"/>
      <c r="C5" s="7"/>
      <c r="D5" s="7"/>
      <c r="E5" s="7"/>
      <c r="F5" s="7"/>
      <c r="G5" s="7"/>
      <c r="H5" s="7"/>
      <c r="I5" s="7"/>
      <c r="J5" s="7"/>
    </row>
    <row r="6" spans="1:10" x14ac:dyDescent="0.25">
      <c r="A6" s="43" t="s">
        <v>50</v>
      </c>
      <c r="B6" s="44" t="s">
        <v>51</v>
      </c>
      <c r="C6" s="42" t="s">
        <v>52</v>
      </c>
      <c r="D6" s="42" t="s">
        <v>53</v>
      </c>
      <c r="E6" s="42" t="s">
        <v>54</v>
      </c>
      <c r="F6" s="42" t="s">
        <v>55</v>
      </c>
      <c r="G6" s="42" t="s">
        <v>56</v>
      </c>
      <c r="H6" s="42" t="s">
        <v>57</v>
      </c>
      <c r="I6" s="42" t="s">
        <v>58</v>
      </c>
    </row>
    <row r="7" spans="1:10" x14ac:dyDescent="0.25">
      <c r="A7" s="43"/>
      <c r="B7" s="44"/>
      <c r="C7" s="42"/>
      <c r="D7" s="42"/>
      <c r="E7" s="42"/>
      <c r="F7" s="42"/>
      <c r="G7" s="42"/>
      <c r="H7" s="42"/>
      <c r="I7" s="42"/>
    </row>
    <row r="8" spans="1:10" x14ac:dyDescent="0.25">
      <c r="A8" s="43"/>
      <c r="B8" s="44"/>
      <c r="C8" s="42"/>
      <c r="D8" s="42"/>
      <c r="E8" s="42"/>
      <c r="F8" s="42"/>
      <c r="G8" s="42"/>
      <c r="H8" s="42"/>
      <c r="I8" s="42"/>
    </row>
    <row r="9" spans="1:10" x14ac:dyDescent="0.25">
      <c r="A9" s="43"/>
      <c r="B9" s="44"/>
      <c r="C9" s="42"/>
      <c r="D9" s="42"/>
      <c r="E9" s="42"/>
      <c r="F9" s="42"/>
      <c r="G9" s="42"/>
      <c r="H9" s="42"/>
      <c r="I9" s="42"/>
      <c r="J9" s="20"/>
    </row>
    <row r="10" spans="1:10" x14ac:dyDescent="0.25">
      <c r="A10" s="43"/>
      <c r="B10" s="44"/>
      <c r="C10" s="42"/>
      <c r="D10" s="42"/>
      <c r="E10" s="42"/>
      <c r="F10" s="42"/>
      <c r="G10" s="42"/>
      <c r="H10" s="42"/>
      <c r="I10" s="42"/>
    </row>
    <row r="11" spans="1:10" x14ac:dyDescent="0.25">
      <c r="A11" s="43"/>
      <c r="B11" s="44"/>
      <c r="C11" s="42"/>
      <c r="D11" s="42"/>
      <c r="E11" s="42"/>
      <c r="F11" s="42"/>
      <c r="G11" s="42"/>
      <c r="H11" s="42"/>
      <c r="I11" s="42"/>
    </row>
    <row r="12" spans="1:10" x14ac:dyDescent="0.25">
      <c r="B12" s="14"/>
      <c r="C12" s="14"/>
      <c r="D12" s="14"/>
      <c r="E12" s="14"/>
      <c r="F12" s="14"/>
      <c r="G12" s="14"/>
      <c r="H12" s="14"/>
      <c r="I12" s="10">
        <f>+B1</f>
        <v>7800000</v>
      </c>
    </row>
    <row r="13" spans="1:10" x14ac:dyDescent="0.25">
      <c r="A13" s="9">
        <v>1</v>
      </c>
      <c r="B13" s="7">
        <f>+C4</f>
        <v>845040.58182665834</v>
      </c>
      <c r="C13" s="7">
        <f>+B13-F13</f>
        <v>510598.53886807279</v>
      </c>
      <c r="D13" s="7" cm="1">
        <f t="array" ref="D13">IF(ValorTotalUnificadoActivo!D6="CREDITO DE CONSUMO",30,_xlfn.IFS(ValorTotalUnificadoActivo!$D$8="Mensual",30,ValorTotalUnificadoActivo!$D$8="Bimensual",60,ValorTotalUnificadoActivo!$D$8="Trimestral",90,ValorTotalUnificadoActivo!$D$8="Cuatrimestral",120,ValorTotalUnificadoActivo!$D$8="Quinquemestral",150,ValorTotalUnificadoActivo!$D$8="Semestral",180))</f>
        <v>30</v>
      </c>
      <c r="E13" s="13">
        <f>1/((1+$B$3)^(D13/360))</f>
        <v>0.95888568125602558</v>
      </c>
      <c r="F13" s="5">
        <f>+I12*((1+$B$3)^($D$13/360))-I12</f>
        <v>334442.04295858555</v>
      </c>
      <c r="G13" s="12" cm="1">
        <f t="array" ref="G13">_xlfn.IFS(ValorTotalUnificadoActivo!$D$6="CREDITO COMERCIAL",0,ValorTotalUnificadoActivo!$D$6="CREDITO DE CONSUMO",0,ValorTotalUnificadoActivo!$D$6="MICROCREDITO",_xlfn.IFS(ValorTotalUnificadoActivo!$D$8="Mensual",($B$1*(_xlfn.XLOOKUP(ValorTotalUnificadoActivo!D7,Tabla_Comision[comto],Tabla_Comision[cotasap],,1)/100))/12,ValorTotalUnificadoActivo!$D$8="Bimensual",(($B$1*(_xlfn.XLOOKUP(ValorTotalUnificadoActivo!D7,Tabla_Comision[comto],Tabla_Comision[cotasap],,1)/100))/12)*2,ValorTotalUnificadoActivo!$D$8="Trimestral",(($B$1*(_xlfn.XLOOKUP(ValorTotalUnificadoActivo!D7,Tabla_Comision[comto],Tabla_Comision[cotasap],,1)/100))/12)*3,ValorTotalUnificadoActivo!$D$8="Cuatrimestral",(($B$1*(_xlfn.XLOOKUP(ValorTotalUnificadoActivo!D7,Tabla_Comision[comto],Tabla_Comision[cotasap],,1)/100))/12)*4,ValorTotalUnificadoActivo!$D$8="Quinquemestral",(($B$1*(_xlfn.XLOOKUP(ValorTotalUnificadoActivo!D7,Tabla_Comision[comto],Tabla_Comision[cotasap],,1)/100))/12)*5,ValorTotalUnificadoActivo!$D$8="Semestral",(($B$1*(_xlfn.XLOOKUP(ValorTotalUnificadoActivo!D7,Tabla_Comision[comto],Tabla_Comision[cotasap],,1)/100))/12)*6))</f>
        <v>29250</v>
      </c>
      <c r="H13" s="12">
        <f>+$G$13*0.19</f>
        <v>5557.5</v>
      </c>
      <c r="I13" s="7">
        <f>+I12-C13</f>
        <v>7289401.4611319276</v>
      </c>
    </row>
    <row r="14" spans="1:10" x14ac:dyDescent="0.25">
      <c r="A14" s="9">
        <f>IF($B$2&gt;A13,A13+1,"crédito cancelado")</f>
        <v>2</v>
      </c>
      <c r="B14" s="7">
        <f>IF(A14&lt;=$B$2,$C$4,0)</f>
        <v>845040.58182665834</v>
      </c>
      <c r="C14" s="7">
        <f t="shared" ref="C14:C44" si="0">+B14-F14</f>
        <v>532491.56687713729</v>
      </c>
      <c r="D14" s="7">
        <f>IF(A14&lt;=$B$2,$D$13*A14,0)</f>
        <v>60</v>
      </c>
      <c r="E14" s="13">
        <f>IF(D14&gt;1,1/((1+$B$3)^(D14/360)),0)</f>
        <v>0.91946174971783212</v>
      </c>
      <c r="F14" s="5">
        <f t="shared" ref="F14:F77" si="1">+I13*((1+$B$3)^($D$13/360))-I13</f>
        <v>312549.01494952105</v>
      </c>
      <c r="G14" s="12" cm="1">
        <f t="array" ref="G14">IF(F14&gt;=1,_xlfn.IFS(ValorTotalUnificadoActivo!$D$6="CREDITO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29250</v>
      </c>
      <c r="H14" s="12">
        <f>+IF(G14&gt;=1,$G$13*0.19,0)</f>
        <v>5557.5</v>
      </c>
      <c r="I14" s="7">
        <f t="shared" ref="I14:I44" si="2">+I13-C14</f>
        <v>6756909.8942547906</v>
      </c>
    </row>
    <row r="15" spans="1:10" x14ac:dyDescent="0.25">
      <c r="A15" s="9">
        <f t="shared" ref="A15:A78" si="3">IF($B$2&gt;A14,A14+1,"crédito cancelado")</f>
        <v>3</v>
      </c>
      <c r="B15" s="7">
        <f t="shared" ref="B15:B78" si="4">IF(A15&lt;=$B$2,$C$4,0)</f>
        <v>845040.58182665834</v>
      </c>
      <c r="C15" s="7">
        <f t="shared" si="0"/>
        <v>555323.30629824137</v>
      </c>
      <c r="D15" s="7">
        <f t="shared" ref="D15:D78" si="5">IF(A15&lt;=$B$2,$D$13*A15,0)</f>
        <v>90</v>
      </c>
      <c r="E15" s="13">
        <f t="shared" ref="E15:E78" si="6">IF(D15&gt;1,1/((1+$B$3)^(D15/360)),0)</f>
        <v>0.88165870626704057</v>
      </c>
      <c r="F15" s="5">
        <f t="shared" si="1"/>
        <v>289717.27552841697</v>
      </c>
      <c r="G15" s="12" cm="1">
        <f t="array" ref="G15">IF(F15&gt;=1,_xlfn.IFS(ValorTotalUnificadoActivo!$D$6="CREDITO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29250</v>
      </c>
      <c r="H15" s="12">
        <f>+IF(G15&gt;=1,$G$13*0.19,0)</f>
        <v>5557.5</v>
      </c>
      <c r="I15" s="7">
        <f t="shared" si="2"/>
        <v>6201586.5879565496</v>
      </c>
    </row>
    <row r="16" spans="1:10" x14ac:dyDescent="0.25">
      <c r="A16" s="9">
        <f t="shared" si="3"/>
        <v>4</v>
      </c>
      <c r="B16" s="7">
        <f t="shared" si="4"/>
        <v>845040.58182665834</v>
      </c>
      <c r="C16" s="7">
        <f t="shared" si="0"/>
        <v>579134.00643425377</v>
      </c>
      <c r="D16" s="7">
        <f t="shared" si="5"/>
        <v>120</v>
      </c>
      <c r="E16" s="13">
        <f t="shared" si="6"/>
        <v>0.84540990919417736</v>
      </c>
      <c r="F16" s="5">
        <f t="shared" si="1"/>
        <v>265906.57539240457</v>
      </c>
      <c r="G16" s="12" cm="1">
        <f t="array" ref="G16">IF(F16&gt;=1,_xlfn.IFS(ValorTotalUnificadoActivo!$D$6="CREDITO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29250</v>
      </c>
      <c r="H16" s="12">
        <f t="shared" ref="H16:H78" si="7">+IF(G16&gt;=1,$G$13*0.19,0)</f>
        <v>5557.5</v>
      </c>
      <c r="I16" s="7">
        <f>+I15-C16</f>
        <v>5622452.5815222962</v>
      </c>
    </row>
    <row r="17" spans="1:9" x14ac:dyDescent="0.25">
      <c r="A17" s="9">
        <f t="shared" si="3"/>
        <v>5</v>
      </c>
      <c r="B17" s="7">
        <f t="shared" si="4"/>
        <v>845040.58182665834</v>
      </c>
      <c r="C17" s="7">
        <f t="shared" si="0"/>
        <v>603965.64236485155</v>
      </c>
      <c r="D17" s="7">
        <f t="shared" si="5"/>
        <v>150</v>
      </c>
      <c r="E17" s="13">
        <f t="shared" si="6"/>
        <v>0.81065145671825334</v>
      </c>
      <c r="F17" s="5">
        <f t="shared" si="1"/>
        <v>241074.93946180679</v>
      </c>
      <c r="G17" s="12" cm="1">
        <f t="array" ref="G17">IF(F17&gt;=1,_xlfn.IFS(ValorTotalUnificadoActivo!$D$6="CREDITO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29250</v>
      </c>
      <c r="H17" s="12">
        <f t="shared" si="7"/>
        <v>5557.5</v>
      </c>
      <c r="I17" s="7">
        <f>+I16-C17</f>
        <v>5018486.939157445</v>
      </c>
    </row>
    <row r="18" spans="1:9" x14ac:dyDescent="0.25">
      <c r="A18" s="9">
        <f t="shared" si="3"/>
        <v>6</v>
      </c>
      <c r="B18" s="7">
        <f t="shared" si="4"/>
        <v>845040.58182665834</v>
      </c>
      <c r="C18" s="7">
        <f>+B18-F18</f>
        <v>629861.98894296621</v>
      </c>
      <c r="D18" s="7">
        <f t="shared" si="5"/>
        <v>180</v>
      </c>
      <c r="E18" s="13">
        <f>IF(D18&gt;1,1/((1+$B$3)^(D18/360)),0)</f>
        <v>0.77732207433647171</v>
      </c>
      <c r="F18" s="5">
        <f t="shared" si="1"/>
        <v>215178.59288369212</v>
      </c>
      <c r="G18" s="12" cm="1">
        <f t="array" ref="G18">IF(F18&gt;=1,_xlfn.IFS(ValorTotalUnificadoActivo!$D$6="CREDITO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29250</v>
      </c>
      <c r="H18" s="12">
        <f t="shared" si="7"/>
        <v>5557.5</v>
      </c>
      <c r="I18" s="7">
        <f>+I17-C18</f>
        <v>4388624.9502144791</v>
      </c>
    </row>
    <row r="19" spans="1:9" x14ac:dyDescent="0.25">
      <c r="A19" s="9">
        <f t="shared" si="3"/>
        <v>7</v>
      </c>
      <c r="B19" s="7">
        <f t="shared" si="4"/>
        <v>845040.58182665834</v>
      </c>
      <c r="C19" s="7">
        <f>+B19-F19</f>
        <v>656868.69796399807</v>
      </c>
      <c r="D19" s="7">
        <f t="shared" si="5"/>
        <v>210</v>
      </c>
      <c r="E19" s="13">
        <f>IF(D19&gt;1,1/((1+$B$3)^(D19/360)),0)</f>
        <v>0.74536300680547452</v>
      </c>
      <c r="F19" s="5">
        <f t="shared" si="1"/>
        <v>188171.88386266027</v>
      </c>
      <c r="G19" s="12" cm="1">
        <f t="array" ref="G19">IF(F19&gt;=1,_xlfn.IFS(ValorTotalUnificadoActivo!$D$6="CREDITO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29250</v>
      </c>
      <c r="H19" s="12">
        <f t="shared" si="7"/>
        <v>5557.5</v>
      </c>
      <c r="I19" s="7">
        <f t="shared" si="2"/>
        <v>3731756.2522504809</v>
      </c>
    </row>
    <row r="20" spans="1:9" x14ac:dyDescent="0.25">
      <c r="A20" s="9">
        <f t="shared" si="3"/>
        <v>8</v>
      </c>
      <c r="B20" s="7">
        <f t="shared" si="4"/>
        <v>845040.58182665834</v>
      </c>
      <c r="C20" s="7">
        <f t="shared" si="0"/>
        <v>685033.37864382134</v>
      </c>
      <c r="D20" s="7">
        <f t="shared" si="5"/>
        <v>240</v>
      </c>
      <c r="E20" s="13">
        <f t="shared" si="6"/>
        <v>0.71471791456370692</v>
      </c>
      <c r="F20" s="5">
        <f t="shared" si="1"/>
        <v>160007.20318283699</v>
      </c>
      <c r="G20" s="12" cm="1">
        <f t="array" ref="G20">IF(F20&gt;=1,_xlfn.IFS(ValorTotalUnificadoActivo!$D$6="CREDITO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29250</v>
      </c>
      <c r="H20" s="12">
        <f t="shared" si="7"/>
        <v>5557.5</v>
      </c>
      <c r="I20" s="7">
        <f t="shared" si="2"/>
        <v>3046722.8736066595</v>
      </c>
    </row>
    <row r="21" spans="1:9" x14ac:dyDescent="0.25">
      <c r="A21" s="9">
        <f t="shared" si="3"/>
        <v>9</v>
      </c>
      <c r="B21" s="7">
        <f t="shared" si="4"/>
        <v>845040.58182665834</v>
      </c>
      <c r="C21" s="7">
        <f t="shared" si="0"/>
        <v>714405.68154747074</v>
      </c>
      <c r="D21" s="7">
        <f t="shared" si="5"/>
        <v>270</v>
      </c>
      <c r="E21" s="13">
        <f t="shared" si="6"/>
        <v>0.685332774412306</v>
      </c>
      <c r="F21" s="5">
        <f t="shared" si="1"/>
        <v>130634.9002791876</v>
      </c>
      <c r="G21" s="12" cm="1">
        <f t="array" ref="G21">IF(F21&gt;=1,_xlfn.IFS(ValorTotalUnificadoActivo!$D$6="CREDITO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29250</v>
      </c>
      <c r="H21" s="12">
        <f t="shared" si="7"/>
        <v>5557.5</v>
      </c>
      <c r="I21" s="7">
        <f t="shared" si="2"/>
        <v>2332317.1920591886</v>
      </c>
    </row>
    <row r="22" spans="1:9" x14ac:dyDescent="0.25">
      <c r="A22" s="9">
        <f t="shared" si="3"/>
        <v>10</v>
      </c>
      <c r="B22" s="7">
        <f t="shared" si="4"/>
        <v>845040.58182665834</v>
      </c>
      <c r="C22" s="7">
        <f t="shared" si="0"/>
        <v>745037.38611643936</v>
      </c>
      <c r="D22" s="7">
        <f t="shared" si="5"/>
        <v>300</v>
      </c>
      <c r="E22" s="13">
        <f t="shared" si="6"/>
        <v>0.65715578427942611</v>
      </c>
      <c r="F22" s="5">
        <f t="shared" si="1"/>
        <v>100003.19571021898</v>
      </c>
      <c r="G22" s="12" cm="1">
        <f t="array" ref="G22">IF(F22&gt;=1,_xlfn.IFS(ValorTotalUnificadoActivo!$D$6="CREDITO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29250</v>
      </c>
      <c r="H22" s="12">
        <f t="shared" si="7"/>
        <v>5557.5</v>
      </c>
      <c r="I22" s="7">
        <f t="shared" si="2"/>
        <v>1587279.8059427491</v>
      </c>
    </row>
    <row r="23" spans="1:9" x14ac:dyDescent="0.25">
      <c r="A23" s="9">
        <f t="shared" si="3"/>
        <v>11</v>
      </c>
      <c r="B23" s="7">
        <f t="shared" si="4"/>
        <v>845040.58182665834</v>
      </c>
      <c r="C23" s="7">
        <f t="shared" si="0"/>
        <v>776982.4919489146</v>
      </c>
      <c r="D23" s="7">
        <f t="shared" si="5"/>
        <v>330</v>
      </c>
      <c r="E23" s="13">
        <f t="shared" si="6"/>
        <v>0.63013727190011526</v>
      </c>
      <c r="F23" s="5">
        <f t="shared" si="1"/>
        <v>68058.08987774374</v>
      </c>
      <c r="G23" s="12" cm="1">
        <f t="array" ref="G23">IF(F23&gt;=1,_xlfn.IFS(ValorTotalUnificadoActivo!$D$6="CREDITO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29250</v>
      </c>
      <c r="H23" s="12">
        <f t="shared" si="7"/>
        <v>5557.5</v>
      </c>
      <c r="I23" s="7">
        <f t="shared" si="2"/>
        <v>810297.31399383454</v>
      </c>
    </row>
    <row r="24" spans="1:9" x14ac:dyDescent="0.25">
      <c r="A24" s="9">
        <f t="shared" si="3"/>
        <v>12</v>
      </c>
      <c r="B24" s="7">
        <f t="shared" si="4"/>
        <v>845040.58182665834</v>
      </c>
      <c r="C24" s="7">
        <f t="shared" si="0"/>
        <v>810297.31399384385</v>
      </c>
      <c r="D24" s="7">
        <f t="shared" si="5"/>
        <v>360</v>
      </c>
      <c r="E24" s="13">
        <f t="shared" si="6"/>
        <v>0.60422960725075525</v>
      </c>
      <c r="F24" s="5">
        <f t="shared" si="1"/>
        <v>34743.267832814483</v>
      </c>
      <c r="G24" s="12" cm="1">
        <f t="array" ref="G24">IF(F24&gt;=1,_xlfn.IFS(ValorTotalUnificadoActivo!$D$6="CREDITO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29250</v>
      </c>
      <c r="H24" s="12">
        <f t="shared" si="7"/>
        <v>5557.5</v>
      </c>
      <c r="I24" s="7">
        <f t="shared" si="2"/>
        <v>-9.3132257461547852E-9</v>
      </c>
    </row>
    <row r="25" spans="1:9" x14ac:dyDescent="0.25">
      <c r="A25" s="9" t="str">
        <f t="shared" si="3"/>
        <v>crédito cancelado</v>
      </c>
      <c r="B25" s="7">
        <f t="shared" si="4"/>
        <v>0</v>
      </c>
      <c r="C25" s="7">
        <f t="shared" si="0"/>
        <v>3.9932490321519328E-10</v>
      </c>
      <c r="D25" s="7">
        <f t="shared" si="5"/>
        <v>0</v>
      </c>
      <c r="E25" s="13">
        <f t="shared" si="6"/>
        <v>0</v>
      </c>
      <c r="F25" s="5">
        <f t="shared" si="1"/>
        <v>-3.9932490321519328E-10</v>
      </c>
      <c r="G25" s="12" cm="1">
        <f t="array" ref="G25">IF(F25&gt;=1,_xlfn.IFS(ValorTotalUnificadoActivo!$D$6="CREDITO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25" s="12">
        <f t="shared" si="7"/>
        <v>0</v>
      </c>
      <c r="I25" s="7">
        <f t="shared" si="2"/>
        <v>-9.7125506493699784E-9</v>
      </c>
    </row>
    <row r="26" spans="1:9" x14ac:dyDescent="0.25">
      <c r="A26" s="9" t="str">
        <f t="shared" si="3"/>
        <v>crédito cancelado</v>
      </c>
      <c r="B26" s="7">
        <f t="shared" si="4"/>
        <v>0</v>
      </c>
      <c r="C26" s="7">
        <f t="shared" si="0"/>
        <v>4.1644683096333773E-10</v>
      </c>
      <c r="D26" s="7">
        <f t="shared" si="5"/>
        <v>0</v>
      </c>
      <c r="E26" s="13">
        <f t="shared" si="6"/>
        <v>0</v>
      </c>
      <c r="F26" s="5">
        <f t="shared" si="1"/>
        <v>-4.1644683096333773E-10</v>
      </c>
      <c r="G26" s="12" cm="1">
        <f t="array" ref="G26">IF(F26&gt;=1,_xlfn.IFS(ValorTotalUnificadoActivo!$D$6="CREDITO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26" s="12">
        <f t="shared" si="7"/>
        <v>0</v>
      </c>
      <c r="I26" s="7">
        <f t="shared" si="2"/>
        <v>-1.0128997480333316E-8</v>
      </c>
    </row>
    <row r="27" spans="1:9" x14ac:dyDescent="0.25">
      <c r="A27" s="9" t="str">
        <f t="shared" si="3"/>
        <v>crédito cancelado</v>
      </c>
      <c r="B27" s="7">
        <f t="shared" si="4"/>
        <v>0</v>
      </c>
      <c r="C27" s="7">
        <f t="shared" si="0"/>
        <v>4.3430289877500645E-10</v>
      </c>
      <c r="D27" s="7">
        <f t="shared" si="5"/>
        <v>0</v>
      </c>
      <c r="E27" s="13">
        <f t="shared" si="6"/>
        <v>0</v>
      </c>
      <c r="F27" s="5">
        <f t="shared" si="1"/>
        <v>-4.3430289877500645E-10</v>
      </c>
      <c r="G27" s="12" cm="1">
        <f t="array" ref="G27">IF(F27&gt;=1,_xlfn.IFS(ValorTotalUnificadoActivo!$D$6="CREDITO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27" s="12">
        <f t="shared" si="7"/>
        <v>0</v>
      </c>
      <c r="I27" s="7">
        <f t="shared" si="2"/>
        <v>-1.0563300379108323E-8</v>
      </c>
    </row>
    <row r="28" spans="1:9" x14ac:dyDescent="0.25">
      <c r="A28" s="9" t="str">
        <f t="shared" si="3"/>
        <v>crédito cancelado</v>
      </c>
      <c r="B28" s="7">
        <f t="shared" si="4"/>
        <v>0</v>
      </c>
      <c r="C28" s="7">
        <f t="shared" si="0"/>
        <v>4.5292458450951269E-10</v>
      </c>
      <c r="D28" s="7">
        <f t="shared" si="5"/>
        <v>0</v>
      </c>
      <c r="E28" s="13">
        <f t="shared" si="6"/>
        <v>0</v>
      </c>
      <c r="F28" s="5">
        <f t="shared" si="1"/>
        <v>-4.5292458450951269E-10</v>
      </c>
      <c r="G28" s="12" cm="1">
        <f t="array" ref="G28">IF(F28&gt;=1,_xlfn.IFS(ValorTotalUnificadoActivo!$D$6="CREDITO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28" s="12">
        <f t="shared" si="7"/>
        <v>0</v>
      </c>
      <c r="I28" s="7">
        <f t="shared" si="2"/>
        <v>-1.1016224963617835E-8</v>
      </c>
    </row>
    <row r="29" spans="1:9" x14ac:dyDescent="0.25">
      <c r="A29" s="9" t="str">
        <f t="shared" si="3"/>
        <v>crédito cancelado</v>
      </c>
      <c r="B29" s="7">
        <f t="shared" si="4"/>
        <v>0</v>
      </c>
      <c r="C29" s="7">
        <f t="shared" si="0"/>
        <v>4.7234471570816965E-10</v>
      </c>
      <c r="D29" s="7">
        <f t="shared" si="5"/>
        <v>0</v>
      </c>
      <c r="E29" s="13">
        <f t="shared" si="6"/>
        <v>0</v>
      </c>
      <c r="F29" s="5">
        <f t="shared" si="1"/>
        <v>-4.7234471570816965E-10</v>
      </c>
      <c r="G29" s="12" cm="1">
        <f t="array" ref="G29">IF(F29&gt;=1,_xlfn.IFS(ValorTotalUnificadoActivo!$D$6="CREDITO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29" s="12">
        <f t="shared" si="7"/>
        <v>0</v>
      </c>
      <c r="I29" s="7">
        <f t="shared" si="2"/>
        <v>-1.1488569679326005E-8</v>
      </c>
    </row>
    <row r="30" spans="1:9" x14ac:dyDescent="0.25">
      <c r="A30" s="9" t="str">
        <f t="shared" si="3"/>
        <v>crédito cancelado</v>
      </c>
      <c r="B30" s="7">
        <f t="shared" si="4"/>
        <v>0</v>
      </c>
      <c r="C30" s="7">
        <f t="shared" si="0"/>
        <v>4.9259752746485365E-10</v>
      </c>
      <c r="D30" s="7">
        <f t="shared" si="5"/>
        <v>0</v>
      </c>
      <c r="E30" s="13">
        <f t="shared" si="6"/>
        <v>0</v>
      </c>
      <c r="F30" s="5">
        <f t="shared" si="1"/>
        <v>-4.9259752746485365E-10</v>
      </c>
      <c r="G30" s="12" cm="1">
        <f t="array" ref="G30">IF(F30&gt;=1,_xlfn.IFS(ValorTotalUnificadoActivo!$D$6="CREDITO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0" s="12">
        <f t="shared" si="7"/>
        <v>0</v>
      </c>
      <c r="I30" s="7">
        <f t="shared" si="2"/>
        <v>-1.1981167206790859E-8</v>
      </c>
    </row>
    <row r="31" spans="1:9" x14ac:dyDescent="0.25">
      <c r="A31" s="9" t="str">
        <f t="shared" si="3"/>
        <v>crédito cancelado</v>
      </c>
      <c r="B31" s="7">
        <f t="shared" si="4"/>
        <v>0</v>
      </c>
      <c r="C31" s="7">
        <f t="shared" si="0"/>
        <v>5.1371872277789071E-10</v>
      </c>
      <c r="D31" s="7">
        <f t="shared" si="5"/>
        <v>0</v>
      </c>
      <c r="E31" s="13">
        <f t="shared" si="6"/>
        <v>0</v>
      </c>
      <c r="F31" s="5">
        <f t="shared" si="1"/>
        <v>-5.1371872277789071E-10</v>
      </c>
      <c r="G31" s="12" cm="1">
        <f t="array" ref="G31">IF(F31&gt;=1,_xlfn.IFS(ValorTotalUnificadoActivo!$D$6="CREDITO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1" s="12">
        <f t="shared" si="7"/>
        <v>0</v>
      </c>
      <c r="I31" s="7">
        <f t="shared" si="2"/>
        <v>-1.2494885929568749E-8</v>
      </c>
    </row>
    <row r="32" spans="1:9" x14ac:dyDescent="0.25">
      <c r="A32" s="9" t="str">
        <f t="shared" si="3"/>
        <v>crédito cancelado</v>
      </c>
      <c r="B32" s="7">
        <f t="shared" si="4"/>
        <v>0</v>
      </c>
      <c r="C32" s="7">
        <f t="shared" si="0"/>
        <v>5.3574553548967521E-10</v>
      </c>
      <c r="D32" s="7">
        <f t="shared" si="5"/>
        <v>0</v>
      </c>
      <c r="E32" s="13">
        <f t="shared" si="6"/>
        <v>0</v>
      </c>
      <c r="F32" s="5">
        <f t="shared" si="1"/>
        <v>-5.3574553548967521E-10</v>
      </c>
      <c r="G32" s="12" cm="1">
        <f t="array" ref="G32">IF(F32&gt;=1,_xlfn.IFS(ValorTotalUnificadoActivo!$D$6="CREDITO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2" s="12">
        <f t="shared" si="7"/>
        <v>0</v>
      </c>
      <c r="I32" s="7">
        <f t="shared" si="2"/>
        <v>-1.3030631465058425E-8</v>
      </c>
    </row>
    <row r="33" spans="1:9" x14ac:dyDescent="0.25">
      <c r="A33" s="9" t="str">
        <f t="shared" si="3"/>
        <v>crédito cancelado</v>
      </c>
      <c r="B33" s="7">
        <f t="shared" si="4"/>
        <v>0</v>
      </c>
      <c r="C33" s="7">
        <f t="shared" si="0"/>
        <v>5.587167959249453E-10</v>
      </c>
      <c r="D33" s="7">
        <f t="shared" si="5"/>
        <v>0</v>
      </c>
      <c r="E33" s="13">
        <f t="shared" si="6"/>
        <v>0</v>
      </c>
      <c r="F33" s="5">
        <f t="shared" si="1"/>
        <v>-5.587167959249453E-10</v>
      </c>
      <c r="G33" s="12" cm="1">
        <f t="array" ref="G33">IF(F33&gt;=1,_xlfn.IFS(ValorTotalUnificadoActivo!$D$6="CREDITO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3" s="12">
        <f t="shared" si="7"/>
        <v>0</v>
      </c>
      <c r="I33" s="7">
        <f t="shared" si="2"/>
        <v>-1.358934826098337E-8</v>
      </c>
    </row>
    <row r="34" spans="1:9" x14ac:dyDescent="0.25">
      <c r="A34" s="9" t="str">
        <f t="shared" si="3"/>
        <v>crédito cancelado</v>
      </c>
      <c r="B34" s="7">
        <f t="shared" si="4"/>
        <v>0</v>
      </c>
      <c r="C34" s="7">
        <f t="shared" si="0"/>
        <v>5.8267299934345945E-10</v>
      </c>
      <c r="D34" s="7">
        <f t="shared" si="5"/>
        <v>0</v>
      </c>
      <c r="E34" s="13">
        <f t="shared" si="6"/>
        <v>0</v>
      </c>
      <c r="F34" s="5">
        <f t="shared" si="1"/>
        <v>-5.8267299934345945E-10</v>
      </c>
      <c r="G34" s="12" cm="1">
        <f t="array" ref="G34">IF(F34&gt;=1,_xlfn.IFS(ValorTotalUnificadoActivo!$D$6="CREDITO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4" s="12">
        <f t="shared" si="7"/>
        <v>0</v>
      </c>
      <c r="I34" s="7">
        <f t="shared" si="2"/>
        <v>-1.4172021260326829E-8</v>
      </c>
    </row>
    <row r="35" spans="1:9" x14ac:dyDescent="0.25">
      <c r="A35" s="9" t="str">
        <f t="shared" si="3"/>
        <v>crédito cancelado</v>
      </c>
      <c r="B35" s="7">
        <f t="shared" si="4"/>
        <v>0</v>
      </c>
      <c r="C35" s="7">
        <f t="shared" si="0"/>
        <v>6.0765637732771978E-10</v>
      </c>
      <c r="D35" s="7">
        <f t="shared" si="5"/>
        <v>0</v>
      </c>
      <c r="E35" s="13">
        <f t="shared" si="6"/>
        <v>0</v>
      </c>
      <c r="F35" s="5">
        <f t="shared" si="1"/>
        <v>-6.0765637732771978E-10</v>
      </c>
      <c r="G35" s="12" cm="1">
        <f t="array" ref="G35">IF(F35&gt;=1,_xlfn.IFS(ValorTotalUnificadoActivo!$D$6="CREDITO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5" s="12">
        <f t="shared" si="7"/>
        <v>0</v>
      </c>
      <c r="I35" s="7">
        <f t="shared" si="2"/>
        <v>-1.4779677637654549E-8</v>
      </c>
    </row>
    <row r="36" spans="1:9" x14ac:dyDescent="0.25">
      <c r="A36" s="9" t="str">
        <f t="shared" si="3"/>
        <v>crédito cancelado</v>
      </c>
      <c r="B36" s="7">
        <f t="shared" si="4"/>
        <v>0</v>
      </c>
      <c r="C36" s="7">
        <f t="shared" si="0"/>
        <v>6.3371097223160452E-10</v>
      </c>
      <c r="D36" s="7">
        <f t="shared" si="5"/>
        <v>0</v>
      </c>
      <c r="E36" s="13">
        <f t="shared" si="6"/>
        <v>0</v>
      </c>
      <c r="F36" s="5">
        <f t="shared" si="1"/>
        <v>-6.3371097223160452E-10</v>
      </c>
      <c r="G36" s="12" cm="1">
        <f t="array" ref="G36">IF(F36&gt;=1,_xlfn.IFS(ValorTotalUnificadoActivo!$D$6="CREDITO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6" s="12">
        <f t="shared" si="7"/>
        <v>0</v>
      </c>
      <c r="I36" s="7">
        <f t="shared" si="2"/>
        <v>-1.5413388609886154E-8</v>
      </c>
    </row>
    <row r="37" spans="1:9" x14ac:dyDescent="0.25">
      <c r="A37" s="9" t="str">
        <f t="shared" si="3"/>
        <v>crédito cancelado</v>
      </c>
      <c r="B37" s="7">
        <f t="shared" si="4"/>
        <v>0</v>
      </c>
      <c r="C37" s="7">
        <f t="shared" si="0"/>
        <v>6.6088271482114338E-10</v>
      </c>
      <c r="D37" s="7">
        <f t="shared" si="5"/>
        <v>0</v>
      </c>
      <c r="E37" s="13">
        <f t="shared" si="6"/>
        <v>0</v>
      </c>
      <c r="F37" s="5">
        <f t="shared" si="1"/>
        <v>-6.6088271482114338E-10</v>
      </c>
      <c r="G37" s="12" cm="1">
        <f t="array" ref="G37">IF(F37&gt;=1,_xlfn.IFS(ValorTotalUnificadoActivo!$D$6="CREDITO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7" s="12">
        <f t="shared" si="7"/>
        <v>0</v>
      </c>
      <c r="I37" s="7">
        <f t="shared" si="2"/>
        <v>-1.6074271324707297E-8</v>
      </c>
    </row>
    <row r="38" spans="1:9" x14ac:dyDescent="0.25">
      <c r="A38" s="9" t="str">
        <f t="shared" si="3"/>
        <v>crédito cancelado</v>
      </c>
      <c r="B38" s="7">
        <f t="shared" si="4"/>
        <v>0</v>
      </c>
      <c r="C38" s="7">
        <f t="shared" si="0"/>
        <v>6.8921950524432433E-10</v>
      </c>
      <c r="D38" s="7">
        <f t="shared" si="5"/>
        <v>0</v>
      </c>
      <c r="E38" s="13">
        <f t="shared" si="6"/>
        <v>0</v>
      </c>
      <c r="F38" s="5">
        <f t="shared" si="1"/>
        <v>-6.8921950524432433E-10</v>
      </c>
      <c r="G38" s="12" cm="1">
        <f t="array" ref="G38">IF(F38&gt;=1,_xlfn.IFS(ValorTotalUnificadoActivo!$D$6="CREDITO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8" s="12">
        <f t="shared" si="7"/>
        <v>0</v>
      </c>
      <c r="I38" s="7">
        <f t="shared" si="2"/>
        <v>-1.6763490829951621E-8</v>
      </c>
    </row>
    <row r="39" spans="1:9" x14ac:dyDescent="0.25">
      <c r="A39" s="9" t="str">
        <f t="shared" si="3"/>
        <v>crédito cancelado</v>
      </c>
      <c r="B39" s="7">
        <f t="shared" si="4"/>
        <v>0</v>
      </c>
      <c r="C39" s="7">
        <f t="shared" si="0"/>
        <v>7.1877129747263524E-10</v>
      </c>
      <c r="D39" s="7">
        <f t="shared" si="5"/>
        <v>0</v>
      </c>
      <c r="E39" s="13">
        <f t="shared" si="6"/>
        <v>0</v>
      </c>
      <c r="F39" s="5">
        <f t="shared" si="1"/>
        <v>-7.1877129747263524E-10</v>
      </c>
      <c r="G39" s="12" cm="1">
        <f t="array" ref="G39">IF(F39&gt;=1,_xlfn.IFS(ValorTotalUnificadoActivo!$D$6="CREDITO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9" s="12">
        <f t="shared" si="7"/>
        <v>0</v>
      </c>
      <c r="I39" s="7">
        <f t="shared" si="2"/>
        <v>-1.7482262127424257E-8</v>
      </c>
    </row>
    <row r="40" spans="1:9" x14ac:dyDescent="0.25">
      <c r="A40" s="9" t="str">
        <f t="shared" si="3"/>
        <v>crédito cancelado</v>
      </c>
      <c r="B40" s="7">
        <f t="shared" si="4"/>
        <v>0</v>
      </c>
      <c r="C40" s="7">
        <f t="shared" si="0"/>
        <v>7.4959018736324301E-10</v>
      </c>
      <c r="D40" s="7">
        <f t="shared" si="5"/>
        <v>0</v>
      </c>
      <c r="E40" s="13">
        <f t="shared" si="6"/>
        <v>0</v>
      </c>
      <c r="F40" s="5">
        <f t="shared" si="1"/>
        <v>-7.4959018736324301E-10</v>
      </c>
      <c r="G40" s="12" cm="1">
        <f t="array" ref="G40">IF(F40&gt;=1,_xlfn.IFS(ValorTotalUnificadoActivo!$D$6="CREDITO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0" s="12">
        <f t="shared" si="7"/>
        <v>0</v>
      </c>
      <c r="I40" s="7">
        <f t="shared" si="2"/>
        <v>-1.82318523147875E-8</v>
      </c>
    </row>
    <row r="41" spans="1:9" x14ac:dyDescent="0.25">
      <c r="A41" s="9" t="str">
        <f t="shared" si="3"/>
        <v>crédito cancelado</v>
      </c>
      <c r="B41" s="7">
        <f t="shared" si="4"/>
        <v>0</v>
      </c>
      <c r="C41" s="7">
        <f t="shared" si="0"/>
        <v>7.8173050449701879E-10</v>
      </c>
      <c r="D41" s="7">
        <f t="shared" si="5"/>
        <v>0</v>
      </c>
      <c r="E41" s="13">
        <f t="shared" si="6"/>
        <v>0</v>
      </c>
      <c r="F41" s="5">
        <f t="shared" si="1"/>
        <v>-7.8173050449701879E-10</v>
      </c>
      <c r="G41" s="12" cm="1">
        <f t="array" ref="G41">IF(F41&gt;=1,_xlfn.IFS(ValorTotalUnificadoActivo!$D$6="CREDITO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1" s="12">
        <f t="shared" si="7"/>
        <v>0</v>
      </c>
      <c r="I41" s="7">
        <f t="shared" si="2"/>
        <v>-1.9013582819284518E-8</v>
      </c>
    </row>
    <row r="42" spans="1:9" x14ac:dyDescent="0.25">
      <c r="A42" s="9" t="str">
        <f t="shared" si="3"/>
        <v>crédito cancelado</v>
      </c>
      <c r="B42" s="7">
        <f t="shared" si="4"/>
        <v>0</v>
      </c>
      <c r="C42" s="7">
        <f t="shared" si="0"/>
        <v>8.1524890795433019E-10</v>
      </c>
      <c r="D42" s="7">
        <f t="shared" si="5"/>
        <v>0</v>
      </c>
      <c r="E42" s="13">
        <f t="shared" si="6"/>
        <v>0</v>
      </c>
      <c r="F42" s="5">
        <f t="shared" si="1"/>
        <v>-8.1524890795433019E-10</v>
      </c>
      <c r="G42" s="12" cm="1">
        <f t="array" ref="G42">IF(F42&gt;=1,_xlfn.IFS(ValorTotalUnificadoActivo!$D$6="CREDITO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2" s="12">
        <f t="shared" si="7"/>
        <v>0</v>
      </c>
      <c r="I42" s="7">
        <f t="shared" si="2"/>
        <v>-1.9828831727238848E-8</v>
      </c>
    </row>
    <row r="43" spans="1:9" x14ac:dyDescent="0.25">
      <c r="A43" s="9" t="str">
        <f t="shared" si="3"/>
        <v>crédito cancelado</v>
      </c>
      <c r="B43" s="7">
        <f t="shared" si="4"/>
        <v>0</v>
      </c>
      <c r="C43" s="7">
        <f t="shared" si="0"/>
        <v>8.5020448619740788E-10</v>
      </c>
      <c r="D43" s="7">
        <f t="shared" si="5"/>
        <v>0</v>
      </c>
      <c r="E43" s="13">
        <f t="shared" si="6"/>
        <v>0</v>
      </c>
      <c r="F43" s="5">
        <f t="shared" si="1"/>
        <v>-8.5020448619740788E-10</v>
      </c>
      <c r="G43" s="12" cm="1">
        <f t="array" ref="G43">IF(F43&gt;=1,_xlfn.IFS(ValorTotalUnificadoActivo!$D$6="CREDITO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3" s="12">
        <f t="shared" si="7"/>
        <v>0</v>
      </c>
      <c r="I43" s="7">
        <f t="shared" si="2"/>
        <v>-2.0679036213436256E-8</v>
      </c>
    </row>
    <row r="44" spans="1:9" x14ac:dyDescent="0.25">
      <c r="A44" s="9" t="str">
        <f t="shared" si="3"/>
        <v>crédito cancelado</v>
      </c>
      <c r="B44" s="7">
        <f t="shared" si="4"/>
        <v>0</v>
      </c>
      <c r="C44" s="7">
        <f t="shared" si="0"/>
        <v>8.8665886123541017E-10</v>
      </c>
      <c r="D44" s="7">
        <f t="shared" si="5"/>
        <v>0</v>
      </c>
      <c r="E44" s="13">
        <f t="shared" si="6"/>
        <v>0</v>
      </c>
      <c r="F44" s="5">
        <f t="shared" si="1"/>
        <v>-8.8665886123541017E-10</v>
      </c>
      <c r="G44" s="12" cm="1">
        <f t="array" ref="G44">IF(F44&gt;=1,_xlfn.IFS(ValorTotalUnificadoActivo!$D$6="CREDITO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4" s="12">
        <f t="shared" si="7"/>
        <v>0</v>
      </c>
      <c r="I44" s="7">
        <f t="shared" si="2"/>
        <v>-2.1565695074671667E-8</v>
      </c>
    </row>
    <row r="45" spans="1:9" x14ac:dyDescent="0.25">
      <c r="A45" s="9" t="str">
        <f t="shared" si="3"/>
        <v>crédito cancelado</v>
      </c>
      <c r="B45" s="7">
        <f t="shared" si="4"/>
        <v>0</v>
      </c>
      <c r="C45" s="7">
        <f t="shared" ref="C45:C76" si="8">+B45-F45</f>
        <v>9.2467629725578305E-10</v>
      </c>
      <c r="D45" s="7">
        <f t="shared" si="5"/>
        <v>0</v>
      </c>
      <c r="E45" s="13">
        <f t="shared" si="6"/>
        <v>0</v>
      </c>
      <c r="F45" s="5">
        <f t="shared" si="1"/>
        <v>-9.2467629725578305E-10</v>
      </c>
      <c r="G45" s="12" cm="1">
        <f t="array" ref="G45">IF(F45&gt;=1,_xlfn.IFS(ValorTotalUnificadoActivo!$D$6="CREDITO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5" s="12">
        <f t="shared" si="7"/>
        <v>0</v>
      </c>
      <c r="I45" s="7">
        <f t="shared" ref="I45:I76" si="9">+I44-C45</f>
        <v>-2.249037137192745E-8</v>
      </c>
    </row>
    <row r="46" spans="1:9" x14ac:dyDescent="0.25">
      <c r="A46" s="9" t="str">
        <f t="shared" si="3"/>
        <v>crédito cancelado</v>
      </c>
      <c r="B46" s="7">
        <f t="shared" si="4"/>
        <v>0</v>
      </c>
      <c r="C46" s="7">
        <f t="shared" si="8"/>
        <v>9.6432381391342462E-10</v>
      </c>
      <c r="D46" s="7">
        <f t="shared" si="5"/>
        <v>0</v>
      </c>
      <c r="E46" s="13">
        <f t="shared" si="6"/>
        <v>0</v>
      </c>
      <c r="F46" s="5">
        <f t="shared" si="1"/>
        <v>-9.6432381391342462E-10</v>
      </c>
      <c r="G46" s="12" cm="1">
        <f t="array" ref="G46">IF(F46&gt;=1,_xlfn.IFS(ValorTotalUnificadoActivo!$D$6="CREDITO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6" s="12">
        <f t="shared" si="7"/>
        <v>0</v>
      </c>
      <c r="I46" s="7">
        <f t="shared" si="9"/>
        <v>-2.3454695185840874E-8</v>
      </c>
    </row>
    <row r="47" spans="1:9" x14ac:dyDescent="0.25">
      <c r="A47" s="9" t="str">
        <f t="shared" si="3"/>
        <v>crédito cancelado</v>
      </c>
      <c r="B47" s="7">
        <f t="shared" si="4"/>
        <v>0</v>
      </c>
      <c r="C47" s="7">
        <f t="shared" si="8"/>
        <v>1.0056713044773751E-9</v>
      </c>
      <c r="D47" s="7">
        <f t="shared" si="5"/>
        <v>0</v>
      </c>
      <c r="E47" s="13">
        <f t="shared" si="6"/>
        <v>0</v>
      </c>
      <c r="F47" s="5">
        <f t="shared" si="1"/>
        <v>-1.0056713044773751E-9</v>
      </c>
      <c r="G47" s="12" cm="1">
        <f t="array" ref="G47">IF(F47&gt;=1,_xlfn.IFS(ValorTotalUnificadoActivo!$D$6="CREDITO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7" s="12">
        <f t="shared" si="7"/>
        <v>0</v>
      </c>
      <c r="I47" s="7">
        <f t="shared" si="9"/>
        <v>-2.4460366490318249E-8</v>
      </c>
    </row>
    <row r="48" spans="1:9" x14ac:dyDescent="0.25">
      <c r="A48" s="9" t="str">
        <f t="shared" si="3"/>
        <v>crédito cancelado</v>
      </c>
      <c r="B48" s="7">
        <f t="shared" si="4"/>
        <v>0</v>
      </c>
      <c r="C48" s="7">
        <f t="shared" si="8"/>
        <v>1.0487916590433032E-9</v>
      </c>
      <c r="D48" s="7">
        <f t="shared" si="5"/>
        <v>0</v>
      </c>
      <c r="E48" s="13">
        <f t="shared" si="6"/>
        <v>0</v>
      </c>
      <c r="F48" s="5">
        <f t="shared" si="1"/>
        <v>-1.0487916590433032E-9</v>
      </c>
      <c r="G48" s="12" cm="1">
        <f t="array" ref="G48">IF(F48&gt;=1,_xlfn.IFS(ValorTotalUnificadoActivo!$D$6="CREDITO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8" s="12">
        <f t="shared" si="7"/>
        <v>0</v>
      </c>
      <c r="I48" s="7">
        <f t="shared" si="9"/>
        <v>-2.5509158149361552E-8</v>
      </c>
    </row>
    <row r="49" spans="1:9" x14ac:dyDescent="0.25">
      <c r="A49" s="9" t="str">
        <f t="shared" si="3"/>
        <v>crédito cancelado</v>
      </c>
      <c r="B49" s="7">
        <f t="shared" si="4"/>
        <v>0</v>
      </c>
      <c r="C49" s="7">
        <f t="shared" si="8"/>
        <v>1.0937608930289929E-9</v>
      </c>
      <c r="D49" s="7">
        <f t="shared" si="5"/>
        <v>0</v>
      </c>
      <c r="E49" s="13">
        <f t="shared" si="6"/>
        <v>0</v>
      </c>
      <c r="F49" s="5">
        <f t="shared" si="1"/>
        <v>-1.0937608930289929E-9</v>
      </c>
      <c r="G49" s="12" cm="1">
        <f t="array" ref="G49">IF(F49&gt;=1,_xlfn.IFS(ValorTotalUnificadoActivo!$D$6="CREDITO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9" s="12">
        <f t="shared" si="7"/>
        <v>0</v>
      </c>
      <c r="I49" s="7">
        <f t="shared" si="9"/>
        <v>-2.6602919042390545E-8</v>
      </c>
    </row>
    <row r="50" spans="1:9" x14ac:dyDescent="0.25">
      <c r="A50" s="9" t="str">
        <f t="shared" si="3"/>
        <v>crédito cancelado</v>
      </c>
      <c r="B50" s="7">
        <f t="shared" si="4"/>
        <v>0</v>
      </c>
      <c r="C50" s="7">
        <f t="shared" si="8"/>
        <v>1.1406582811793534E-9</v>
      </c>
      <c r="D50" s="7">
        <f t="shared" si="5"/>
        <v>0</v>
      </c>
      <c r="E50" s="13">
        <f t="shared" si="6"/>
        <v>0</v>
      </c>
      <c r="F50" s="5">
        <f t="shared" si="1"/>
        <v>-1.1406582811793534E-9</v>
      </c>
      <c r="G50" s="12" cm="1">
        <f t="array" ref="G50">IF(F50&gt;=1,_xlfn.IFS(ValorTotalUnificadoActivo!$D$6="CREDITO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0" s="12">
        <f t="shared" si="7"/>
        <v>0</v>
      </c>
      <c r="I50" s="7">
        <f t="shared" si="9"/>
        <v>-2.7743577323569899E-8</v>
      </c>
    </row>
    <row r="51" spans="1:9" x14ac:dyDescent="0.25">
      <c r="A51" s="9" t="str">
        <f t="shared" si="3"/>
        <v>crédito cancelado</v>
      </c>
      <c r="B51" s="7">
        <f t="shared" si="4"/>
        <v>0</v>
      </c>
      <c r="C51" s="7">
        <f t="shared" si="8"/>
        <v>1.189566497317207E-9</v>
      </c>
      <c r="D51" s="7">
        <f t="shared" si="5"/>
        <v>0</v>
      </c>
      <c r="E51" s="13">
        <f t="shared" si="6"/>
        <v>0</v>
      </c>
      <c r="F51" s="5">
        <f t="shared" si="1"/>
        <v>-1.189566497317207E-9</v>
      </c>
      <c r="G51" s="12" cm="1">
        <f t="array" ref="G51">IF(F51&gt;=1,_xlfn.IFS(ValorTotalUnificadoActivo!$D$6="CREDITO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1" s="12">
        <f t="shared" si="7"/>
        <v>0</v>
      </c>
      <c r="I51" s="7">
        <f t="shared" si="9"/>
        <v>-2.8933143820887106E-8</v>
      </c>
    </row>
    <row r="52" spans="1:9" x14ac:dyDescent="0.25">
      <c r="A52" s="9" t="str">
        <f t="shared" si="3"/>
        <v>crédito cancelado</v>
      </c>
      <c r="B52" s="7">
        <f t="shared" si="4"/>
        <v>0</v>
      </c>
      <c r="C52" s="7">
        <f t="shared" si="8"/>
        <v>1.2405717600861632E-9</v>
      </c>
      <c r="D52" s="7">
        <f t="shared" si="5"/>
        <v>0</v>
      </c>
      <c r="E52" s="13">
        <f t="shared" si="6"/>
        <v>0</v>
      </c>
      <c r="F52" s="5">
        <f t="shared" si="1"/>
        <v>-1.2405717600861632E-9</v>
      </c>
      <c r="G52" s="12" cm="1">
        <f t="array" ref="G52">IF(F52&gt;=1,_xlfn.IFS(ValorTotalUnificadoActivo!$D$6="CREDITO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2" s="12">
        <f t="shared" si="7"/>
        <v>0</v>
      </c>
      <c r="I52" s="7">
        <f t="shared" si="9"/>
        <v>-3.0173715580973269E-8</v>
      </c>
    </row>
    <row r="53" spans="1:9" x14ac:dyDescent="0.25">
      <c r="A53" s="9" t="str">
        <f t="shared" si="3"/>
        <v>crédito cancelado</v>
      </c>
      <c r="B53" s="7">
        <f t="shared" si="4"/>
        <v>0</v>
      </c>
      <c r="C53" s="7">
        <f t="shared" si="8"/>
        <v>1.293763984942569E-9</v>
      </c>
      <c r="D53" s="7">
        <f t="shared" si="5"/>
        <v>0</v>
      </c>
      <c r="E53" s="13">
        <f t="shared" si="6"/>
        <v>0</v>
      </c>
      <c r="F53" s="5">
        <f t="shared" si="1"/>
        <v>-1.293763984942569E-9</v>
      </c>
      <c r="G53" s="12" cm="1">
        <f t="array" ref="G53">IF(F53&gt;=1,_xlfn.IFS(ValorTotalUnificadoActivo!$D$6="CREDITO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3" s="12">
        <f t="shared" si="7"/>
        <v>0</v>
      </c>
      <c r="I53" s="7">
        <f t="shared" si="9"/>
        <v>-3.1467479565915838E-8</v>
      </c>
    </row>
    <row r="54" spans="1:9" x14ac:dyDescent="0.25">
      <c r="A54" s="9" t="str">
        <f t="shared" si="3"/>
        <v>crédito cancelado</v>
      </c>
      <c r="B54" s="7">
        <f t="shared" si="4"/>
        <v>0</v>
      </c>
      <c r="C54" s="7">
        <f t="shared" si="8"/>
        <v>1.3492369426644197E-9</v>
      </c>
      <c r="D54" s="7">
        <f t="shared" si="5"/>
        <v>0</v>
      </c>
      <c r="E54" s="13">
        <f t="shared" si="6"/>
        <v>0</v>
      </c>
      <c r="F54" s="5">
        <f t="shared" si="1"/>
        <v>-1.3492369426644197E-9</v>
      </c>
      <c r="G54" s="12" cm="1">
        <f t="array" ref="G54">IF(F54&gt;=1,_xlfn.IFS(ValorTotalUnificadoActivo!$D$6="CREDITO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4" s="12">
        <f t="shared" si="7"/>
        <v>0</v>
      </c>
      <c r="I54" s="7">
        <f t="shared" si="9"/>
        <v>-3.2816716508580258E-8</v>
      </c>
    </row>
    <row r="55" spans="1:9" x14ac:dyDescent="0.25">
      <c r="A55" s="9" t="str">
        <f t="shared" si="3"/>
        <v>crédito cancelado</v>
      </c>
      <c r="B55" s="7">
        <f t="shared" si="4"/>
        <v>0</v>
      </c>
      <c r="C55" s="7">
        <f t="shared" si="8"/>
        <v>1.4070884246567079E-9</v>
      </c>
      <c r="D55" s="7">
        <f t="shared" si="5"/>
        <v>0</v>
      </c>
      <c r="E55" s="13">
        <f t="shared" si="6"/>
        <v>0</v>
      </c>
      <c r="F55" s="5">
        <f t="shared" si="1"/>
        <v>-1.4070884246567079E-9</v>
      </c>
      <c r="G55" s="12" cm="1">
        <f t="array" ref="G55">IF(F55&gt;=1,_xlfn.IFS(ValorTotalUnificadoActivo!$D$6="CREDITO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5" s="12">
        <f t="shared" si="7"/>
        <v>0</v>
      </c>
      <c r="I55" s="7">
        <f t="shared" si="9"/>
        <v>-3.4223804933236966E-8</v>
      </c>
    </row>
    <row r="56" spans="1:9" x14ac:dyDescent="0.25">
      <c r="A56" s="9" t="str">
        <f t="shared" si="3"/>
        <v>crédito cancelado</v>
      </c>
      <c r="B56" s="7">
        <f t="shared" si="4"/>
        <v>0</v>
      </c>
      <c r="C56" s="7">
        <f t="shared" si="8"/>
        <v>1.4674204153446016E-9</v>
      </c>
      <c r="D56" s="7">
        <f t="shared" si="5"/>
        <v>0</v>
      </c>
      <c r="E56" s="13">
        <f t="shared" si="6"/>
        <v>0</v>
      </c>
      <c r="F56" s="5">
        <f t="shared" si="1"/>
        <v>-1.4674204153446016E-9</v>
      </c>
      <c r="G56" s="12" cm="1">
        <f t="array" ref="G56">IF(F56&gt;=1,_xlfn.IFS(ValorTotalUnificadoActivo!$D$6="CREDITO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6" s="12">
        <f t="shared" si="7"/>
        <v>0</v>
      </c>
      <c r="I56" s="7">
        <f t="shared" si="9"/>
        <v>-3.5691225348581567E-8</v>
      </c>
    </row>
    <row r="57" spans="1:9" x14ac:dyDescent="0.25">
      <c r="A57" s="9" t="str">
        <f t="shared" si="3"/>
        <v>crédito cancelado</v>
      </c>
      <c r="B57" s="7">
        <f t="shared" si="4"/>
        <v>0</v>
      </c>
      <c r="C57" s="7">
        <f t="shared" si="8"/>
        <v>1.5303392719583176E-9</v>
      </c>
      <c r="D57" s="7">
        <f t="shared" si="5"/>
        <v>0</v>
      </c>
      <c r="E57" s="13">
        <f t="shared" si="6"/>
        <v>0</v>
      </c>
      <c r="F57" s="5">
        <f t="shared" si="1"/>
        <v>-1.5303392719583176E-9</v>
      </c>
      <c r="G57" s="12" cm="1">
        <f t="array" ref="G57">IF(F57&gt;=1,_xlfn.IFS(ValorTotalUnificadoActivo!$D$6="CREDITO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7" s="12">
        <f t="shared" si="7"/>
        <v>0</v>
      </c>
      <c r="I57" s="7">
        <f t="shared" si="9"/>
        <v>-3.7221564620539885E-8</v>
      </c>
    </row>
    <row r="58" spans="1:9" x14ac:dyDescent="0.25">
      <c r="A58" s="9" t="str">
        <f t="shared" si="3"/>
        <v>crédito cancelado</v>
      </c>
      <c r="B58" s="7">
        <f t="shared" si="4"/>
        <v>0</v>
      </c>
      <c r="C58" s="7">
        <f t="shared" si="8"/>
        <v>1.5959559120267171E-9</v>
      </c>
      <c r="D58" s="7">
        <f t="shared" si="5"/>
        <v>0</v>
      </c>
      <c r="E58" s="13">
        <f t="shared" si="6"/>
        <v>0</v>
      </c>
      <c r="F58" s="5">
        <f t="shared" si="1"/>
        <v>-1.5959559120267171E-9</v>
      </c>
      <c r="G58" s="12" cm="1">
        <f t="array" ref="G58">IF(F58&gt;=1,_xlfn.IFS(ValorTotalUnificadoActivo!$D$6="CREDITO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8" s="12">
        <f t="shared" si="7"/>
        <v>0</v>
      </c>
      <c r="I58" s="7">
        <f t="shared" si="9"/>
        <v>-3.8817520532566602E-8</v>
      </c>
    </row>
    <row r="59" spans="1:9" x14ac:dyDescent="0.25">
      <c r="A59" s="9" t="str">
        <f t="shared" si="3"/>
        <v>crédito cancelado</v>
      </c>
      <c r="B59" s="7">
        <f t="shared" si="4"/>
        <v>0</v>
      </c>
      <c r="C59" s="7">
        <f t="shared" si="8"/>
        <v>1.6643860089100569E-9</v>
      </c>
      <c r="D59" s="7">
        <f t="shared" si="5"/>
        <v>0</v>
      </c>
      <c r="E59" s="13">
        <f t="shared" si="6"/>
        <v>0</v>
      </c>
      <c r="F59" s="5">
        <f t="shared" si="1"/>
        <v>-1.6643860089100569E-9</v>
      </c>
      <c r="G59" s="12" cm="1">
        <f t="array" ref="G59">IF(F59&gt;=1,_xlfn.IFS(ValorTotalUnificadoActivo!$D$6="CREDITO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9" s="12">
        <f t="shared" si="7"/>
        <v>0</v>
      </c>
      <c r="I59" s="7">
        <f t="shared" si="9"/>
        <v>-4.0481906541476659E-8</v>
      </c>
    </row>
    <row r="60" spans="1:9" x14ac:dyDescent="0.25">
      <c r="A60" s="9" t="str">
        <f t="shared" si="3"/>
        <v>crédito cancelado</v>
      </c>
      <c r="B60" s="7">
        <f t="shared" si="4"/>
        <v>0</v>
      </c>
      <c r="C60" s="7">
        <f t="shared" si="8"/>
        <v>1.7357501957166665E-9</v>
      </c>
      <c r="D60" s="7">
        <f t="shared" si="5"/>
        <v>0</v>
      </c>
      <c r="E60" s="13">
        <f t="shared" si="6"/>
        <v>0</v>
      </c>
      <c r="F60" s="5">
        <f t="shared" si="1"/>
        <v>-1.7357501957166665E-9</v>
      </c>
      <c r="G60" s="12" cm="1">
        <f t="array" ref="G60">IF(F60&gt;=1,_xlfn.IFS(ValorTotalUnificadoActivo!$D$6="CREDITO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0" s="12">
        <f t="shared" si="7"/>
        <v>0</v>
      </c>
      <c r="I60" s="7">
        <f t="shared" si="9"/>
        <v>-4.2217656737193325E-8</v>
      </c>
    </row>
    <row r="61" spans="1:9" x14ac:dyDescent="0.25">
      <c r="A61" s="9" t="str">
        <f t="shared" si="3"/>
        <v>crédito cancelado</v>
      </c>
      <c r="B61" s="7">
        <f t="shared" si="4"/>
        <v>0</v>
      </c>
      <c r="C61" s="7">
        <f t="shared" si="8"/>
        <v>1.8101742779629774E-9</v>
      </c>
      <c r="D61" s="7">
        <f t="shared" si="5"/>
        <v>0</v>
      </c>
      <c r="E61" s="13">
        <f t="shared" si="6"/>
        <v>0</v>
      </c>
      <c r="F61" s="5">
        <f t="shared" si="1"/>
        <v>-1.8101742779629774E-9</v>
      </c>
      <c r="G61" s="12" cm="1">
        <f t="array" ref="G61">IF(F61&gt;=1,_xlfn.IFS(ValorTotalUnificadoActivo!$D$6="CREDITO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1" s="12">
        <f t="shared" si="7"/>
        <v>0</v>
      </c>
      <c r="I61" s="7">
        <f t="shared" si="9"/>
        <v>-4.4027831015156303E-8</v>
      </c>
    </row>
    <row r="62" spans="1:9" x14ac:dyDescent="0.25">
      <c r="A62" s="9" t="str">
        <f t="shared" si="3"/>
        <v>crédito cancelado</v>
      </c>
      <c r="B62" s="7">
        <f t="shared" si="4"/>
        <v>0</v>
      </c>
      <c r="C62" s="7">
        <f t="shared" si="8"/>
        <v>1.8877894553518288E-9</v>
      </c>
      <c r="D62" s="7">
        <f t="shared" si="5"/>
        <v>0</v>
      </c>
      <c r="E62" s="13">
        <f t="shared" si="6"/>
        <v>0</v>
      </c>
      <c r="F62" s="5">
        <f t="shared" si="1"/>
        <v>-1.8877894553518288E-9</v>
      </c>
      <c r="G62" s="12" cm="1">
        <f t="array" ref="G62">IF(F62&gt;=1,_xlfn.IFS(ValorTotalUnificadoActivo!$D$6="CREDITO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2" s="12">
        <f t="shared" si="7"/>
        <v>0</v>
      </c>
      <c r="I62" s="7">
        <f t="shared" si="9"/>
        <v>-4.5915620470508131E-8</v>
      </c>
    </row>
    <row r="63" spans="1:9" x14ac:dyDescent="0.25">
      <c r="A63" s="9" t="str">
        <f t="shared" si="3"/>
        <v>crédito cancelado</v>
      </c>
      <c r="B63" s="7">
        <f t="shared" si="4"/>
        <v>0</v>
      </c>
      <c r="C63" s="7">
        <f t="shared" si="8"/>
        <v>1.9687325530599753E-9</v>
      </c>
      <c r="D63" s="7">
        <f t="shared" si="5"/>
        <v>0</v>
      </c>
      <c r="E63" s="13">
        <f t="shared" si="6"/>
        <v>0</v>
      </c>
      <c r="F63" s="5">
        <f t="shared" si="1"/>
        <v>-1.9687325530599753E-9</v>
      </c>
      <c r="G63" s="12" cm="1">
        <f t="array" ref="G63">IF(F63&gt;=1,_xlfn.IFS(ValorTotalUnificadoActivo!$D$6="CREDITO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3" s="12">
        <f t="shared" si="7"/>
        <v>0</v>
      </c>
      <c r="I63" s="7">
        <f t="shared" si="9"/>
        <v>-4.7884353023568107E-8</v>
      </c>
    </row>
    <row r="64" spans="1:9" x14ac:dyDescent="0.25">
      <c r="A64" s="9" t="str">
        <f t="shared" si="3"/>
        <v>crédito cancelado</v>
      </c>
      <c r="B64" s="7">
        <f t="shared" si="4"/>
        <v>0</v>
      </c>
      <c r="C64" s="7">
        <f t="shared" si="8"/>
        <v>2.053146262942597E-9</v>
      </c>
      <c r="D64" s="7">
        <f t="shared" si="5"/>
        <v>0</v>
      </c>
      <c r="E64" s="13">
        <f t="shared" si="6"/>
        <v>0</v>
      </c>
      <c r="F64" s="5">
        <f t="shared" si="1"/>
        <v>-2.053146262942597E-9</v>
      </c>
      <c r="G64" s="12" cm="1">
        <f t="array" ref="G64">IF(F64&gt;=1,_xlfn.IFS(ValorTotalUnificadoActivo!$D$6="CREDITO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4" s="12">
        <f t="shared" si="7"/>
        <v>0</v>
      </c>
      <c r="I64" s="7">
        <f t="shared" si="9"/>
        <v>-4.9937499286510704E-8</v>
      </c>
    </row>
    <row r="65" spans="1:9" x14ac:dyDescent="0.25">
      <c r="A65" s="9" t="str">
        <f t="shared" si="3"/>
        <v>crédito cancelado</v>
      </c>
      <c r="B65" s="7">
        <f t="shared" si="4"/>
        <v>0</v>
      </c>
      <c r="C65" s="7">
        <f t="shared" si="8"/>
        <v>2.141179395079943E-9</v>
      </c>
      <c r="D65" s="7">
        <f t="shared" si="5"/>
        <v>0</v>
      </c>
      <c r="E65" s="13">
        <f t="shared" si="6"/>
        <v>0</v>
      </c>
      <c r="F65" s="5">
        <f t="shared" si="1"/>
        <v>-2.141179395079943E-9</v>
      </c>
      <c r="G65" s="12" cm="1">
        <f t="array" ref="G65">IF(F65&gt;=1,_xlfn.IFS(ValorTotalUnificadoActivo!$D$6="CREDITO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5" s="12">
        <f t="shared" si="7"/>
        <v>0</v>
      </c>
      <c r="I65" s="7">
        <f t="shared" si="9"/>
        <v>-5.2078678681590647E-8</v>
      </c>
    </row>
    <row r="66" spans="1:9" x14ac:dyDescent="0.25">
      <c r="A66" s="9" t="str">
        <f t="shared" si="3"/>
        <v>crédito cancelado</v>
      </c>
      <c r="B66" s="7">
        <f t="shared" si="4"/>
        <v>0</v>
      </c>
      <c r="C66" s="7">
        <f t="shared" si="8"/>
        <v>2.2329871401096091E-9</v>
      </c>
      <c r="D66" s="7">
        <f t="shared" si="5"/>
        <v>0</v>
      </c>
      <c r="E66" s="13">
        <f t="shared" si="6"/>
        <v>0</v>
      </c>
      <c r="F66" s="5">
        <f t="shared" si="1"/>
        <v>-2.2329871401096091E-9</v>
      </c>
      <c r="G66" s="12" cm="1">
        <f t="array" ref="G66">IF(F66&gt;=1,_xlfn.IFS(ValorTotalUnificadoActivo!$D$6="CREDITO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6" s="12">
        <f t="shared" si="7"/>
        <v>0</v>
      </c>
      <c r="I66" s="7">
        <f t="shared" si="9"/>
        <v>-5.4311665821700256E-8</v>
      </c>
    </row>
    <row r="67" spans="1:9" x14ac:dyDescent="0.25">
      <c r="A67" s="9" t="str">
        <f t="shared" si="3"/>
        <v>crédito cancelado</v>
      </c>
      <c r="B67" s="7">
        <f t="shared" si="4"/>
        <v>0</v>
      </c>
      <c r="C67" s="7">
        <f t="shared" si="8"/>
        <v>2.3287313428068507E-9</v>
      </c>
      <c r="D67" s="7">
        <f t="shared" si="5"/>
        <v>0</v>
      </c>
      <c r="E67" s="13">
        <f t="shared" si="6"/>
        <v>0</v>
      </c>
      <c r="F67" s="5">
        <f t="shared" si="1"/>
        <v>-2.3287313428068507E-9</v>
      </c>
      <c r="G67" s="12" cm="1">
        <f t="array" ref="G67">IF(F67&gt;=1,_xlfn.IFS(ValorTotalUnificadoActivo!$D$6="CREDITO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7" s="12">
        <f t="shared" si="7"/>
        <v>0</v>
      </c>
      <c r="I67" s="7">
        <f t="shared" si="9"/>
        <v>-5.6640397164507106E-8</v>
      </c>
    </row>
    <row r="68" spans="1:9" x14ac:dyDescent="0.25">
      <c r="A68" s="9" t="str">
        <f t="shared" si="3"/>
        <v>crédito cancelado</v>
      </c>
      <c r="B68" s="7">
        <f t="shared" si="4"/>
        <v>0</v>
      </c>
      <c r="C68" s="7">
        <f t="shared" si="8"/>
        <v>2.4285807873953161E-9</v>
      </c>
      <c r="D68" s="7">
        <f t="shared" si="5"/>
        <v>0</v>
      </c>
      <c r="E68" s="13">
        <f t="shared" si="6"/>
        <v>0</v>
      </c>
      <c r="F68" s="5">
        <f t="shared" si="1"/>
        <v>-2.4285807873953161E-9</v>
      </c>
      <c r="G68" s="12" cm="1">
        <f t="array" ref="G68">IF(F68&gt;=1,_xlfn.IFS(ValorTotalUnificadoActivo!$D$6="CREDITO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8" s="12">
        <f t="shared" si="7"/>
        <v>0</v>
      </c>
      <c r="I68" s="7">
        <f t="shared" si="9"/>
        <v>-5.9068977951902423E-8</v>
      </c>
    </row>
    <row r="69" spans="1:9" x14ac:dyDescent="0.25">
      <c r="A69" s="9" t="str">
        <f t="shared" si="3"/>
        <v>crédito cancelado</v>
      </c>
      <c r="B69" s="7">
        <f t="shared" si="4"/>
        <v>0</v>
      </c>
      <c r="C69" s="7">
        <f t="shared" si="8"/>
        <v>2.5327114950910198E-9</v>
      </c>
      <c r="D69" s="7">
        <f t="shared" si="5"/>
        <v>0</v>
      </c>
      <c r="E69" s="13">
        <f t="shared" si="6"/>
        <v>0</v>
      </c>
      <c r="F69" s="5">
        <f t="shared" si="1"/>
        <v>-2.5327114950910198E-9</v>
      </c>
      <c r="G69" s="12" cm="1">
        <f t="array" ref="G69">IF(F69&gt;=1,_xlfn.IFS(ValorTotalUnificadoActivo!$D$6="CREDITO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9" s="12">
        <f t="shared" si="7"/>
        <v>0</v>
      </c>
      <c r="I69" s="7">
        <f t="shared" si="9"/>
        <v>-6.1601689446993442E-8</v>
      </c>
    </row>
    <row r="70" spans="1:9" x14ac:dyDescent="0.25">
      <c r="A70" s="9" t="str">
        <f t="shared" si="3"/>
        <v>crédito cancelado</v>
      </c>
      <c r="B70" s="7">
        <f t="shared" si="4"/>
        <v>0</v>
      </c>
      <c r="C70" s="7">
        <f t="shared" si="8"/>
        <v>2.6413070344042074E-9</v>
      </c>
      <c r="D70" s="7">
        <f t="shared" si="5"/>
        <v>0</v>
      </c>
      <c r="E70" s="13">
        <f t="shared" si="6"/>
        <v>0</v>
      </c>
      <c r="F70" s="5">
        <f t="shared" si="1"/>
        <v>-2.6413070344042074E-9</v>
      </c>
      <c r="G70" s="12" cm="1">
        <f t="array" ref="G70">IF(F70&gt;=1,_xlfn.IFS(ValorTotalUnificadoActivo!$D$6="CREDITO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0" s="12">
        <f t="shared" si="7"/>
        <v>0</v>
      </c>
      <c r="I70" s="7">
        <f t="shared" si="9"/>
        <v>-6.424299648139765E-8</v>
      </c>
    </row>
    <row r="71" spans="1:9" x14ac:dyDescent="0.25">
      <c r="A71" s="9" t="str">
        <f t="shared" si="3"/>
        <v>crédito cancelado</v>
      </c>
      <c r="B71" s="7">
        <f t="shared" si="4"/>
        <v>0</v>
      </c>
      <c r="C71" s="7">
        <f t="shared" si="8"/>
        <v>2.7545588447461422E-9</v>
      </c>
      <c r="D71" s="7">
        <f t="shared" si="5"/>
        <v>0</v>
      </c>
      <c r="E71" s="13">
        <f t="shared" si="6"/>
        <v>0</v>
      </c>
      <c r="F71" s="5">
        <f t="shared" si="1"/>
        <v>-2.7545588447461422E-9</v>
      </c>
      <c r="G71" s="12" cm="1">
        <f t="array" ref="G71">IF(F71&gt;=1,_xlfn.IFS(ValorTotalUnificadoActivo!$D$6="CREDITO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1" s="12">
        <f t="shared" si="7"/>
        <v>0</v>
      </c>
      <c r="I71" s="7">
        <f t="shared" si="9"/>
        <v>-6.6997555326143792E-8</v>
      </c>
    </row>
    <row r="72" spans="1:9" x14ac:dyDescent="0.25">
      <c r="A72" s="9" t="str">
        <f t="shared" si="3"/>
        <v>crédito cancelado</v>
      </c>
      <c r="B72" s="7">
        <f t="shared" si="4"/>
        <v>0</v>
      </c>
      <c r="C72" s="7">
        <f t="shared" si="8"/>
        <v>2.8726665739110857E-9</v>
      </c>
      <c r="D72" s="7">
        <f t="shared" si="5"/>
        <v>0</v>
      </c>
      <c r="E72" s="13">
        <f t="shared" si="6"/>
        <v>0</v>
      </c>
      <c r="F72" s="5">
        <f t="shared" si="1"/>
        <v>-2.8726665739110857E-9</v>
      </c>
      <c r="G72" s="12" cm="1">
        <f t="array" ref="G72">IF(F72&gt;=1,_xlfn.IFS(ValorTotalUnificadoActivo!$D$6="CREDITO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2" s="12">
        <f t="shared" si="7"/>
        <v>0</v>
      </c>
      <c r="I72" s="7">
        <f t="shared" si="9"/>
        <v>-6.9870221900054878E-8</v>
      </c>
    </row>
    <row r="73" spans="1:9" x14ac:dyDescent="0.25">
      <c r="A73" s="9" t="str">
        <f t="shared" si="3"/>
        <v>crédito cancelado</v>
      </c>
      <c r="B73" s="7">
        <f t="shared" si="4"/>
        <v>0</v>
      </c>
      <c r="C73" s="7">
        <f t="shared" si="8"/>
        <v>2.9958384300287314E-9</v>
      </c>
      <c r="D73" s="7">
        <f t="shared" si="5"/>
        <v>0</v>
      </c>
      <c r="E73" s="13">
        <f t="shared" si="6"/>
        <v>0</v>
      </c>
      <c r="F73" s="5">
        <f t="shared" si="1"/>
        <v>-2.9958384300287314E-9</v>
      </c>
      <c r="G73" s="12" cm="1">
        <f t="array" ref="G73">IF(F73&gt;=1,_xlfn.IFS(ValorTotalUnificadoActivo!$D$6="CREDITO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3" s="12">
        <f t="shared" si="7"/>
        <v>0</v>
      </c>
      <c r="I73" s="7">
        <f t="shared" si="9"/>
        <v>-7.2866060330083609E-8</v>
      </c>
    </row>
    <row r="74" spans="1:9" x14ac:dyDescent="0.25">
      <c r="A74" s="9" t="str">
        <f t="shared" si="3"/>
        <v>crédito cancelado</v>
      </c>
      <c r="B74" s="7">
        <f t="shared" si="4"/>
        <v>0</v>
      </c>
      <c r="C74" s="7">
        <f t="shared" si="8"/>
        <v>3.1242915486072709E-9</v>
      </c>
      <c r="D74" s="7">
        <f t="shared" si="5"/>
        <v>0</v>
      </c>
      <c r="E74" s="13">
        <f t="shared" si="6"/>
        <v>0</v>
      </c>
      <c r="F74" s="5">
        <f t="shared" si="1"/>
        <v>-3.1242915486072709E-9</v>
      </c>
      <c r="G74" s="12" cm="1">
        <f t="array" ref="G74">IF(F74&gt;=1,_xlfn.IFS(ValorTotalUnificadoActivo!$D$6="CREDITO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4" s="12">
        <f t="shared" si="7"/>
        <v>0</v>
      </c>
      <c r="I74" s="7">
        <f t="shared" si="9"/>
        <v>-7.599035187869088E-8</v>
      </c>
    </row>
    <row r="75" spans="1:9" x14ac:dyDescent="0.25">
      <c r="A75" s="9" t="str">
        <f t="shared" si="3"/>
        <v>crédito cancelado</v>
      </c>
      <c r="B75" s="7">
        <f t="shared" si="4"/>
        <v>0</v>
      </c>
      <c r="C75" s="7">
        <f t="shared" si="8"/>
        <v>3.2582523753142533E-9</v>
      </c>
      <c r="D75" s="7">
        <f t="shared" si="5"/>
        <v>0</v>
      </c>
      <c r="E75" s="13">
        <f t="shared" si="6"/>
        <v>0</v>
      </c>
      <c r="F75" s="5">
        <f t="shared" si="1"/>
        <v>-3.2582523753142533E-9</v>
      </c>
      <c r="G75" s="12" cm="1">
        <f t="array" ref="G75">IF(F75&gt;=1,_xlfn.IFS(ValorTotalUnificadoActivo!$D$6="CREDITO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5" s="12">
        <f t="shared" si="7"/>
        <v>0</v>
      </c>
      <c r="I75" s="7">
        <f t="shared" si="9"/>
        <v>-7.9248604254005133E-8</v>
      </c>
    </row>
    <row r="76" spans="1:9" x14ac:dyDescent="0.25">
      <c r="A76" s="9" t="str">
        <f t="shared" si="3"/>
        <v>crédito cancelado</v>
      </c>
      <c r="B76" s="7">
        <f t="shared" si="4"/>
        <v>0</v>
      </c>
      <c r="C76" s="7">
        <f t="shared" si="8"/>
        <v>3.3979570651699916E-9</v>
      </c>
      <c r="D76" s="7">
        <f t="shared" si="5"/>
        <v>0</v>
      </c>
      <c r="E76" s="13">
        <f t="shared" si="6"/>
        <v>0</v>
      </c>
      <c r="F76" s="5">
        <f t="shared" si="1"/>
        <v>-3.3979570651699916E-9</v>
      </c>
      <c r="G76" s="12" cm="1">
        <f t="array" ref="G76">IF(F76&gt;=1,_xlfn.IFS(ValorTotalUnificadoActivo!$D$6="CREDITO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6" s="12">
        <f t="shared" si="7"/>
        <v>0</v>
      </c>
      <c r="I76" s="7">
        <f t="shared" si="9"/>
        <v>-8.2646561319175125E-8</v>
      </c>
    </row>
    <row r="77" spans="1:9" x14ac:dyDescent="0.25">
      <c r="A77" s="9" t="str">
        <f t="shared" si="3"/>
        <v>crédito cancelado</v>
      </c>
      <c r="B77" s="7">
        <f t="shared" si="4"/>
        <v>0</v>
      </c>
      <c r="C77" s="7">
        <f t="shared" ref="C77:C92" si="10">+B77-F77</f>
        <v>3.5436518988573079E-9</v>
      </c>
      <c r="D77" s="7">
        <f t="shared" si="5"/>
        <v>0</v>
      </c>
      <c r="E77" s="13">
        <f t="shared" si="6"/>
        <v>0</v>
      </c>
      <c r="F77" s="5">
        <f t="shared" si="1"/>
        <v>-3.5436518988573079E-9</v>
      </c>
      <c r="G77" s="12" cm="1">
        <f t="array" ref="G77">IF(F77&gt;=1,_xlfn.IFS(ValorTotalUnificadoActivo!$D$6="CREDITO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7" s="12">
        <f t="shared" si="7"/>
        <v>0</v>
      </c>
      <c r="I77" s="7">
        <f t="shared" ref="I77:I92" si="11">+I76-C77</f>
        <v>-8.6190213218032433E-8</v>
      </c>
    </row>
    <row r="78" spans="1:9" x14ac:dyDescent="0.25">
      <c r="A78" s="9" t="str">
        <f t="shared" si="3"/>
        <v>crédito cancelado</v>
      </c>
      <c r="B78" s="7">
        <f t="shared" si="4"/>
        <v>0</v>
      </c>
      <c r="C78" s="7">
        <f t="shared" si="10"/>
        <v>3.6955937168813997E-9</v>
      </c>
      <c r="D78" s="7">
        <f t="shared" si="5"/>
        <v>0</v>
      </c>
      <c r="E78" s="13">
        <f t="shared" si="6"/>
        <v>0</v>
      </c>
      <c r="F78" s="5">
        <f t="shared" ref="F78:F92" si="12">+I77*((1+$B$3)^($D$13/360))-I77</f>
        <v>-3.6955937168813997E-9</v>
      </c>
      <c r="G78" s="12" cm="1">
        <f t="array" ref="G78">IF(F78&gt;=1,_xlfn.IFS(ValorTotalUnificadoActivo!$D$6="CREDITO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8" s="12">
        <f t="shared" si="7"/>
        <v>0</v>
      </c>
      <c r="I78" s="7">
        <f t="shared" si="11"/>
        <v>-8.9885806934913833E-8</v>
      </c>
    </row>
    <row r="79" spans="1:9" x14ac:dyDescent="0.25">
      <c r="A79" s="9" t="str">
        <f t="shared" ref="A79:A92" si="13">IF($B$2&gt;A78,A78+1,"crédito cancelado")</f>
        <v>crédito cancelado</v>
      </c>
      <c r="B79" s="7">
        <f t="shared" ref="B79:B92" si="14">IF(A79&lt;=$B$2,$C$4,0)</f>
        <v>0</v>
      </c>
      <c r="C79" s="7">
        <f t="shared" si="10"/>
        <v>3.8540503723453326E-9</v>
      </c>
      <c r="D79" s="7">
        <f t="shared" ref="D79:D92" si="15">IF(A79&lt;=$B$2,$D$13*A79,0)</f>
        <v>0</v>
      </c>
      <c r="E79" s="13">
        <f t="shared" ref="E79:E92" si="16">IF(D79&gt;1,1/((1+$B$3)^(D79/360)),0)</f>
        <v>0</v>
      </c>
      <c r="F79" s="5">
        <f t="shared" si="12"/>
        <v>-3.8540503723453326E-9</v>
      </c>
      <c r="G79" s="12" cm="1">
        <f t="array" ref="G79">IF(F79&gt;=1,_xlfn.IFS(ValorTotalUnificadoActivo!$D$6="CREDITO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9" s="12">
        <f t="shared" ref="H79:H92" si="17">+IF(G79&gt;=1,$G$13*0.19,0)</f>
        <v>0</v>
      </c>
      <c r="I79" s="7">
        <f t="shared" si="11"/>
        <v>-9.3739857307259165E-8</v>
      </c>
    </row>
    <row r="80" spans="1:9" x14ac:dyDescent="0.25">
      <c r="A80" s="9" t="str">
        <f t="shared" si="13"/>
        <v>crédito cancelado</v>
      </c>
      <c r="B80" s="7">
        <f t="shared" si="14"/>
        <v>0</v>
      </c>
      <c r="C80" s="7">
        <f t="shared" si="10"/>
        <v>4.0193012031392376E-9</v>
      </c>
      <c r="D80" s="7">
        <f t="shared" si="15"/>
        <v>0</v>
      </c>
      <c r="E80" s="13">
        <f t="shared" si="16"/>
        <v>0</v>
      </c>
      <c r="F80" s="5">
        <f t="shared" si="12"/>
        <v>-4.0193012031392376E-9</v>
      </c>
      <c r="G80" s="12" cm="1">
        <f t="array" ref="G80">IF(F80&gt;=1,_xlfn.IFS(ValorTotalUnificadoActivo!$D$6="CREDITO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0" s="12">
        <f t="shared" si="17"/>
        <v>0</v>
      </c>
      <c r="I80" s="7">
        <f t="shared" si="11"/>
        <v>-9.7759158510398403E-8</v>
      </c>
    </row>
    <row r="81" spans="1:10" x14ac:dyDescent="0.25">
      <c r="A81" s="9" t="str">
        <f t="shared" si="13"/>
        <v>crédito cancelado</v>
      </c>
      <c r="B81" s="7">
        <f t="shared" si="14"/>
        <v>0</v>
      </c>
      <c r="C81" s="7">
        <f t="shared" si="10"/>
        <v>4.1916375243756203E-9</v>
      </c>
      <c r="D81" s="7">
        <f t="shared" si="15"/>
        <v>0</v>
      </c>
      <c r="E81" s="13">
        <f t="shared" si="16"/>
        <v>0</v>
      </c>
      <c r="F81" s="5">
        <f t="shared" si="12"/>
        <v>-4.1916375243756203E-9</v>
      </c>
      <c r="G81" s="12" cm="1">
        <f t="array" ref="G81">IF(F81&gt;=1,_xlfn.IFS(ValorTotalUnificadoActivo!$D$6="CREDITO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1" s="12">
        <f t="shared" si="17"/>
        <v>0</v>
      </c>
      <c r="I81" s="7">
        <f t="shared" si="11"/>
        <v>-1.0195079603477402E-7</v>
      </c>
    </row>
    <row r="82" spans="1:10" x14ac:dyDescent="0.25">
      <c r="A82" s="9" t="str">
        <f t="shared" si="13"/>
        <v>crédito cancelado</v>
      </c>
      <c r="B82" s="7">
        <f t="shared" si="14"/>
        <v>0</v>
      </c>
      <c r="C82" s="7">
        <f t="shared" si="10"/>
        <v>4.3713631419389651E-9</v>
      </c>
      <c r="D82" s="7">
        <f t="shared" si="15"/>
        <v>0</v>
      </c>
      <c r="E82" s="13">
        <f t="shared" si="16"/>
        <v>0</v>
      </c>
      <c r="F82" s="5">
        <f t="shared" si="12"/>
        <v>-4.3713631419389651E-9</v>
      </c>
      <c r="G82" s="12" cm="1">
        <f t="array" ref="G82">IF(F82&gt;=1,_xlfn.IFS(ValorTotalUnificadoActivo!$D$6="CREDITO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2" s="12">
        <f t="shared" si="17"/>
        <v>0</v>
      </c>
      <c r="I82" s="7">
        <f t="shared" si="11"/>
        <v>-1.0632215917671299E-7</v>
      </c>
    </row>
    <row r="83" spans="1:10" x14ac:dyDescent="0.25">
      <c r="A83" s="9" t="str">
        <f t="shared" si="13"/>
        <v>crédito cancelado</v>
      </c>
      <c r="B83" s="7">
        <f t="shared" si="14"/>
        <v>0</v>
      </c>
      <c r="C83" s="7">
        <f t="shared" si="10"/>
        <v>4.5587948880548474E-9</v>
      </c>
      <c r="D83" s="7">
        <f t="shared" si="15"/>
        <v>0</v>
      </c>
      <c r="E83" s="13">
        <f t="shared" si="16"/>
        <v>0</v>
      </c>
      <c r="F83" s="5">
        <f t="shared" si="12"/>
        <v>-4.5587948880548474E-9</v>
      </c>
      <c r="G83" s="12" cm="1">
        <f t="array" ref="G83">IF(F83&gt;=1,_xlfn.IFS(ValorTotalUnificadoActivo!$D$6="CREDITO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3" s="12">
        <f t="shared" si="17"/>
        <v>0</v>
      </c>
      <c r="I83" s="7">
        <f t="shared" si="11"/>
        <v>-1.1088095406476784E-7</v>
      </c>
    </row>
    <row r="84" spans="1:10" x14ac:dyDescent="0.25">
      <c r="A84" s="9" t="str">
        <f t="shared" si="13"/>
        <v>crédito cancelado</v>
      </c>
      <c r="B84" s="7">
        <f t="shared" si="14"/>
        <v>0</v>
      </c>
      <c r="C84" s="7">
        <f t="shared" si="10"/>
        <v>4.7542631798228367E-9</v>
      </c>
      <c r="D84" s="7">
        <f t="shared" si="15"/>
        <v>0</v>
      </c>
      <c r="E84" s="13">
        <f t="shared" si="16"/>
        <v>0</v>
      </c>
      <c r="F84" s="5">
        <f t="shared" si="12"/>
        <v>-4.7542631798228367E-9</v>
      </c>
      <c r="G84" s="12" cm="1">
        <f t="array" ref="G84">IF(F84&gt;=1,_xlfn.IFS(ValorTotalUnificadoActivo!$D$6="CREDITO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4" s="12">
        <f t="shared" si="17"/>
        <v>0</v>
      </c>
      <c r="I84" s="7">
        <f t="shared" si="11"/>
        <v>-1.1563521724459067E-7</v>
      </c>
    </row>
    <row r="85" spans="1:10" x14ac:dyDescent="0.25">
      <c r="A85" s="9" t="str">
        <f t="shared" si="13"/>
        <v>crédito cancelado</v>
      </c>
      <c r="B85" s="7">
        <f t="shared" si="14"/>
        <v>0</v>
      </c>
      <c r="C85" s="7">
        <f t="shared" si="10"/>
        <v>4.9581126016975499E-9</v>
      </c>
      <c r="D85" s="7">
        <f t="shared" si="15"/>
        <v>0</v>
      </c>
      <c r="E85" s="13">
        <f t="shared" si="16"/>
        <v>0</v>
      </c>
      <c r="F85" s="5">
        <f t="shared" si="12"/>
        <v>-4.9581126016975499E-9</v>
      </c>
      <c r="G85" s="12" cm="1">
        <f t="array" ref="G85">IF(F85&gt;=1,_xlfn.IFS(ValorTotalUnificadoActivo!$D$6="CREDITO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5" s="12">
        <f t="shared" si="17"/>
        <v>0</v>
      </c>
      <c r="I85" s="7">
        <f t="shared" si="11"/>
        <v>-1.2059332984628822E-7</v>
      </c>
    </row>
    <row r="86" spans="1:10" x14ac:dyDescent="0.25">
      <c r="A86" s="9" t="str">
        <f t="shared" si="13"/>
        <v>crédito cancelado</v>
      </c>
      <c r="B86" s="7">
        <f t="shared" si="14"/>
        <v>0</v>
      </c>
      <c r="C86" s="7">
        <f t="shared" si="10"/>
        <v>5.170702512945039E-9</v>
      </c>
      <c r="D86" s="7">
        <f t="shared" si="15"/>
        <v>0</v>
      </c>
      <c r="E86" s="13">
        <f t="shared" si="16"/>
        <v>0</v>
      </c>
      <c r="F86" s="5">
        <f t="shared" si="12"/>
        <v>-5.170702512945039E-9</v>
      </c>
      <c r="G86" s="12" cm="1">
        <f t="array" ref="G86">IF(F86&gt;=1,_xlfn.IFS(ValorTotalUnificadoActivo!$D$6="CREDITO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6" s="12">
        <f t="shared" si="17"/>
        <v>0</v>
      </c>
      <c r="I86" s="7">
        <f t="shared" si="11"/>
        <v>-1.2576403235923326E-7</v>
      </c>
    </row>
    <row r="87" spans="1:10" x14ac:dyDescent="0.25">
      <c r="A87" s="9" t="str">
        <f t="shared" si="13"/>
        <v>crédito cancelado</v>
      </c>
      <c r="B87" s="7">
        <f t="shared" si="14"/>
        <v>0</v>
      </c>
      <c r="C87" s="7">
        <f t="shared" si="10"/>
        <v>5.3924076811450851E-9</v>
      </c>
      <c r="D87" s="7">
        <f t="shared" si="15"/>
        <v>0</v>
      </c>
      <c r="E87" s="13">
        <f t="shared" si="16"/>
        <v>0</v>
      </c>
      <c r="F87" s="5">
        <f t="shared" si="12"/>
        <v>-5.3924076811450851E-9</v>
      </c>
      <c r="G87" s="12" cm="1">
        <f t="array" ref="G87">IF(F87&gt;=1,_xlfn.IFS(ValorTotalUnificadoActivo!$D$6="CREDITO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7" s="12">
        <f t="shared" si="17"/>
        <v>0</v>
      </c>
      <c r="I87" s="7">
        <f t="shared" si="11"/>
        <v>-1.3115644004037835E-7</v>
      </c>
    </row>
    <row r="88" spans="1:10" x14ac:dyDescent="0.25">
      <c r="A88" s="9" t="str">
        <f t="shared" si="13"/>
        <v>crédito cancelado</v>
      </c>
      <c r="B88" s="7">
        <f t="shared" si="14"/>
        <v>0</v>
      </c>
      <c r="C88" s="7">
        <f t="shared" si="10"/>
        <v>5.6236189428563439E-9</v>
      </c>
      <c r="D88" s="7">
        <f t="shared" si="15"/>
        <v>0</v>
      </c>
      <c r="E88" s="13">
        <f t="shared" si="16"/>
        <v>0</v>
      </c>
      <c r="F88" s="5">
        <f t="shared" si="12"/>
        <v>-5.6236189428563439E-9</v>
      </c>
      <c r="G88" s="12" cm="1">
        <f t="array" ref="G88">IF(F88&gt;=1,_xlfn.IFS(ValorTotalUnificadoActivo!$D$6="CREDITO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8" s="12">
        <f t="shared" si="17"/>
        <v>0</v>
      </c>
      <c r="I88" s="7">
        <f t="shared" si="11"/>
        <v>-1.3678005898323469E-7</v>
      </c>
    </row>
    <row r="89" spans="1:10" x14ac:dyDescent="0.25">
      <c r="A89" s="9" t="str">
        <f t="shared" si="13"/>
        <v>crédito cancelado</v>
      </c>
      <c r="B89" s="7">
        <f t="shared" si="14"/>
        <v>0</v>
      </c>
      <c r="C89" s="7">
        <f t="shared" si="10"/>
        <v>5.8647438926088262E-9</v>
      </c>
      <c r="D89" s="7">
        <f t="shared" si="15"/>
        <v>0</v>
      </c>
      <c r="E89" s="13">
        <f t="shared" si="16"/>
        <v>0</v>
      </c>
      <c r="F89" s="5">
        <f t="shared" si="12"/>
        <v>-5.8647438926088262E-9</v>
      </c>
      <c r="G89" s="12" cm="1">
        <f t="array" ref="G89">IF(F89&gt;=1,_xlfn.IFS(ValorTotalUnificadoActivo!$D$6="CREDITO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9" s="12">
        <f t="shared" si="17"/>
        <v>0</v>
      </c>
      <c r="I89" s="7">
        <f t="shared" si="11"/>
        <v>-1.4264480287584352E-7</v>
      </c>
    </row>
    <row r="90" spans="1:10" x14ac:dyDescent="0.25">
      <c r="A90" s="9" t="str">
        <f t="shared" si="13"/>
        <v>crédito cancelado</v>
      </c>
      <c r="B90" s="7">
        <f t="shared" si="14"/>
        <v>0</v>
      </c>
      <c r="C90" s="7">
        <f t="shared" si="10"/>
        <v>6.1162076014386921E-9</v>
      </c>
      <c r="D90" s="7">
        <f t="shared" si="15"/>
        <v>0</v>
      </c>
      <c r="E90" s="13">
        <f t="shared" si="16"/>
        <v>0</v>
      </c>
      <c r="F90" s="5">
        <f t="shared" si="12"/>
        <v>-6.1162076014386921E-9</v>
      </c>
      <c r="G90" s="12" cm="1">
        <f t="array" ref="G90">IF(F90&gt;=1,_xlfn.IFS(ValorTotalUnificadoActivo!$D$6="CREDITO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90" s="12">
        <f t="shared" si="17"/>
        <v>0</v>
      </c>
      <c r="I90" s="7">
        <f t="shared" si="11"/>
        <v>-1.4876101047728221E-7</v>
      </c>
    </row>
    <row r="91" spans="1:10" x14ac:dyDescent="0.25">
      <c r="A91" s="9" t="str">
        <f t="shared" si="13"/>
        <v>crédito cancelado</v>
      </c>
      <c r="B91" s="7">
        <f t="shared" si="14"/>
        <v>0</v>
      </c>
      <c r="C91" s="7">
        <f t="shared" si="10"/>
        <v>6.3784533662315111E-9</v>
      </c>
      <c r="D91" s="7">
        <f t="shared" si="15"/>
        <v>0</v>
      </c>
      <c r="E91" s="13">
        <f t="shared" si="16"/>
        <v>0</v>
      </c>
      <c r="F91" s="5">
        <f t="shared" si="12"/>
        <v>-6.3784533662315111E-9</v>
      </c>
      <c r="G91" s="12" cm="1">
        <f t="array" ref="G91">IF(F91&gt;=1,_xlfn.IFS(ValorTotalUnificadoActivo!$D$6="CREDITO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91" s="12">
        <f t="shared" si="17"/>
        <v>0</v>
      </c>
      <c r="I91" s="7">
        <f t="shared" si="11"/>
        <v>-1.5513946384351372E-7</v>
      </c>
    </row>
    <row r="92" spans="1:10" x14ac:dyDescent="0.25">
      <c r="A92" s="9" t="str">
        <f t="shared" si="13"/>
        <v>crédito cancelado</v>
      </c>
      <c r="B92" s="7">
        <f t="shared" si="14"/>
        <v>0</v>
      </c>
      <c r="C92" s="7">
        <f t="shared" si="10"/>
        <v>6.6519434911954424E-9</v>
      </c>
      <c r="D92" s="7">
        <f t="shared" si="15"/>
        <v>0</v>
      </c>
      <c r="E92" s="13">
        <f t="shared" si="16"/>
        <v>0</v>
      </c>
      <c r="F92" s="5">
        <f t="shared" si="12"/>
        <v>-6.6519434911954424E-9</v>
      </c>
      <c r="G92" s="12" cm="1">
        <f t="array" ref="G92">IF(F92&gt;=1,_xlfn.IFS(ValorTotalUnificadoActivo!$D$6="CREDITO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92" s="12">
        <f t="shared" si="17"/>
        <v>0</v>
      </c>
      <c r="I92" s="7">
        <f t="shared" si="11"/>
        <v>-1.6179140733470916E-7</v>
      </c>
    </row>
    <row r="93" spans="1:10" x14ac:dyDescent="0.25">
      <c r="B93" s="7"/>
    </row>
    <row r="94" spans="1:10" ht="15.75" x14ac:dyDescent="0.25">
      <c r="A94" s="1" t="s">
        <v>59</v>
      </c>
      <c r="B94" s="11">
        <f>SUM(B13:B93)</f>
        <v>10140486.9819199</v>
      </c>
      <c r="C94" s="11">
        <f>SUM(C13:C93)</f>
        <v>7800000.0000001667</v>
      </c>
      <c r="D94" s="11"/>
      <c r="E94" s="15">
        <f>SUM(E13:E93)</f>
        <v>9.2303259367015826</v>
      </c>
      <c r="F94" s="21">
        <f>SUM(F13:F93)</f>
        <v>2340486.9819197371</v>
      </c>
      <c r="G94" s="21">
        <f>SUM(G13:G93)</f>
        <v>351000</v>
      </c>
      <c r="H94" s="21">
        <f>SUM(H13:H93)</f>
        <v>66690</v>
      </c>
      <c r="I94" s="11"/>
      <c r="J94" s="1"/>
    </row>
    <row r="100" spans="4:4" x14ac:dyDescent="0.25">
      <c r="D100" s="18"/>
    </row>
  </sheetData>
  <sheetProtection algorithmName="SHA-512" hashValue="ovHuOGubCmMUir0If5jsfY+e+/4PUPkJU0m5Pw8CJX5k/HYBK+1yHgIKbRPITgzYmPPghSdyI+RTP8NbX2taIQ==" saltValue="k6C4UjP7x2LJZxCBcfk7EA==" spinCount="100000" sheet="1" objects="1" scenarios="1" selectLockedCells="1" selectUnlockedCells="1"/>
  <mergeCells count="9">
    <mergeCell ref="I6:I11"/>
    <mergeCell ref="A6:A11"/>
    <mergeCell ref="G6:G11"/>
    <mergeCell ref="C6:C11"/>
    <mergeCell ref="F6:F11"/>
    <mergeCell ref="D6:D11"/>
    <mergeCell ref="H6:H11"/>
    <mergeCell ref="B6:B11"/>
    <mergeCell ref="E6:E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c519d1f-6871-4b91-932a-463dabc2cb9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7EC02C27769AE4F81C36C8C7A7210FE" ma:contentTypeVersion="14" ma:contentTypeDescription="Crear nuevo documento." ma:contentTypeScope="" ma:versionID="c9e20124318f3a16b53ae7471917cb4c">
  <xsd:schema xmlns:xsd="http://www.w3.org/2001/XMLSchema" xmlns:xs="http://www.w3.org/2001/XMLSchema" xmlns:p="http://schemas.microsoft.com/office/2006/metadata/properties" xmlns:ns3="8c519d1f-6871-4b91-932a-463dabc2cb9e" xmlns:ns4="c44e9015-482a-4ad3-8f29-f339592284e4" targetNamespace="http://schemas.microsoft.com/office/2006/metadata/properties" ma:root="true" ma:fieldsID="b26e6c598f2fe8ac124bf2239591e45e" ns3:_="" ns4:_="">
    <xsd:import namespace="8c519d1f-6871-4b91-932a-463dabc2cb9e"/>
    <xsd:import namespace="c44e9015-482a-4ad3-8f29-f339592284e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519d1f-6871-4b91-932a-463dabc2cb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e9015-482a-4ad3-8f29-f339592284e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62AF8773-347C-49DE-B001-ECE7F90EAD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F484D6-E99C-4103-B78C-A81C6392D66F}">
  <ds:schemaRefs>
    <ds:schemaRef ds:uri="http://schemas.microsoft.com/office/2006/metadata/properties"/>
    <ds:schemaRef ds:uri="http://schemas.microsoft.com/office/infopath/2007/PartnerControls"/>
    <ds:schemaRef ds:uri="8c519d1f-6871-4b91-932a-463dabc2cb9e"/>
  </ds:schemaRefs>
</ds:datastoreItem>
</file>

<file path=customXml/itemProps3.xml><?xml version="1.0" encoding="utf-8"?>
<ds:datastoreItem xmlns:ds="http://schemas.openxmlformats.org/officeDocument/2006/customXml" ds:itemID="{3CBAA9E5-5FA4-4D58-8CA5-AF0FBE5993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519d1f-6871-4b91-932a-463dabc2cb9e"/>
    <ds:schemaRef ds:uri="c44e9015-482a-4ad3-8f29-f339592284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A3B2F0C-974E-428D-83D6-239AC5AE737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ValorTotalUnificadoActivo</vt:lpstr>
      <vt:lpstr>TablaProd</vt:lpstr>
      <vt:lpstr>TablaProduc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RAMIREZ BARCO DIEGO HERNANDO</cp:lastModifiedBy>
  <cp:revision/>
  <dcterms:created xsi:type="dcterms:W3CDTF">2023-07-10T13:50:43Z</dcterms:created>
  <dcterms:modified xsi:type="dcterms:W3CDTF">2025-02-18T20:51:07Z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0x01010047EC02C27769AE4F81C36C8C7A7210FE</vt:lpwstr>
  </property>
</Properties>
</file>

<file path=userCustomization/customUI.xml><?xml version="1.0" encoding="utf-8"?>
<mso:customUI xmlns:mso="http://schemas.microsoft.com/office/2006/01/customui">
  <mso:ribbon>
    <mso:qat>
      <mso:documentControls>
        <mso:control idQ="mso:RefreshAllMenu" visible="true"/>
      </mso:documentControls>
    </mso:qat>
  </mso:ribbon>
</mso:customUI>
</file>